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VEN01/05 MEL/01 SROI/"/>
    </mc:Choice>
  </mc:AlternateContent>
  <xr:revisionPtr revIDLastSave="1089" documentId="13_ncr:1_{ECC6B1EE-2B1B-1C46-984F-AA3EB87CB168}" xr6:coauthVersionLast="47" xr6:coauthVersionMax="47" xr10:uidLastSave="{B2F11CD1-7903-4EC3-9AD1-0E06C0764591}"/>
  <bookViews>
    <workbookView xWindow="-110" yWindow="-110" windowWidth="19420" windowHeight="10300" xr2:uid="{D727DE2A-A20A-4F61-A634-FF4E86980CF5}"/>
  </bookViews>
  <sheets>
    <sheet name="Summary" sheetId="7" r:id="rId1"/>
    <sheet name="ToC" sheetId="9" r:id="rId2"/>
    <sheet name="Model input" sheetId="5" r:id="rId3"/>
    <sheet name="SROI" sheetId="2" r:id="rId4"/>
    <sheet name="Sensitivy Analysis" sheetId="10" r:id="rId5"/>
    <sheet name="Info" sheetId="8" r:id="rId6"/>
  </sheets>
  <definedNames>
    <definedName name="_xlnm._FilterDatabase" localSheetId="3" hidden="1">SROI!$O$20:$O$20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5" l="1"/>
  <c r="C20" i="5" s="1"/>
  <c r="C22" i="5"/>
  <c r="C15" i="5"/>
  <c r="D15" i="5" s="1"/>
  <c r="C13" i="5"/>
  <c r="D13" i="5" s="1"/>
  <c r="C21" i="5"/>
  <c r="C11" i="5"/>
  <c r="C28" i="5"/>
  <c r="C29" i="5"/>
  <c r="C30" i="5"/>
  <c r="C31" i="5"/>
  <c r="C32" i="5"/>
  <c r="D33" i="5"/>
  <c r="D40" i="5" s="1"/>
  <c r="F38" i="5"/>
  <c r="G38" i="5"/>
  <c r="H39" i="5" s="1"/>
  <c r="I40" i="5" s="1"/>
  <c r="J41" i="5" s="1"/>
  <c r="K42" i="5" s="1"/>
  <c r="L43" i="5" s="1"/>
  <c r="M44" i="5" s="1"/>
  <c r="H38" i="5"/>
  <c r="I38" i="5"/>
  <c r="J39" i="5" s="1"/>
  <c r="K40" i="5" s="1"/>
  <c r="L41" i="5" s="1"/>
  <c r="M42" i="5" s="1"/>
  <c r="J38" i="5"/>
  <c r="K39" i="5" s="1"/>
  <c r="L40" i="5" s="1"/>
  <c r="M41" i="5" s="1"/>
  <c r="K38" i="5"/>
  <c r="L39" i="5" s="1"/>
  <c r="M40" i="5" s="1"/>
  <c r="L38" i="5"/>
  <c r="M39" i="5" s="1"/>
  <c r="M38" i="5"/>
  <c r="D39" i="5"/>
  <c r="G39" i="5"/>
  <c r="H40" i="5" s="1"/>
  <c r="I41" i="5" s="1"/>
  <c r="J42" i="5" s="1"/>
  <c r="K43" i="5" s="1"/>
  <c r="L44" i="5" s="1"/>
  <c r="M45" i="5" s="1"/>
  <c r="I39" i="5"/>
  <c r="J40" i="5" s="1"/>
  <c r="K41" i="5" s="1"/>
  <c r="L42" i="5" s="1"/>
  <c r="M43" i="5" s="1"/>
  <c r="E40" i="5"/>
  <c r="C41" i="5"/>
  <c r="D41" i="5"/>
  <c r="E41" i="5"/>
  <c r="F41" i="5"/>
  <c r="D4" i="2" l="1"/>
  <c r="D5" i="2" s="1"/>
  <c r="C37" i="5"/>
  <c r="D38" i="5" s="1"/>
  <c r="E39" i="5" s="1"/>
  <c r="F40" i="5" s="1"/>
  <c r="G41" i="5" s="1"/>
  <c r="H42" i="5" s="1"/>
  <c r="I43" i="5" s="1"/>
  <c r="J44" i="5" s="1"/>
  <c r="K45" i="5" s="1"/>
  <c r="L46" i="5" s="1"/>
  <c r="D37" i="5"/>
  <c r="E38" i="5" s="1"/>
  <c r="F39" i="5" s="1"/>
  <c r="G40" i="5" s="1"/>
  <c r="H41" i="5" s="1"/>
  <c r="I42" i="5" s="1"/>
  <c r="J43" i="5" s="1"/>
  <c r="K44" i="5" s="1"/>
  <c r="L45" i="5" s="1"/>
  <c r="M46" i="5" s="1"/>
  <c r="E9" i="2" l="1"/>
  <c r="F9" i="2"/>
  <c r="G9" i="2"/>
  <c r="H9" i="2"/>
  <c r="I9" i="2"/>
  <c r="I10" i="2" s="1"/>
  <c r="J9" i="2"/>
  <c r="J10" i="2" s="1"/>
  <c r="K9" i="2"/>
  <c r="K10" i="2" s="1"/>
  <c r="L9" i="2"/>
  <c r="L10" i="2" s="1"/>
  <c r="M9" i="2"/>
  <c r="M10" i="2" s="1"/>
  <c r="E21" i="2" l="1"/>
  <c r="C21" i="2"/>
  <c r="D21" i="2"/>
  <c r="G10" i="2" l="1"/>
  <c r="H10" i="2"/>
  <c r="D8" i="2" l="1"/>
  <c r="D9" i="2" s="1"/>
  <c r="F10" i="2"/>
  <c r="I4" i="2" l="1"/>
  <c r="K4" i="2"/>
  <c r="L4" i="2"/>
  <c r="M4" i="2"/>
  <c r="J4" i="2"/>
  <c r="H4" i="2"/>
  <c r="G4" i="2"/>
  <c r="E4" i="2"/>
  <c r="E5" i="2" s="1"/>
  <c r="L5" i="2" l="1"/>
  <c r="L6" i="2" s="1"/>
  <c r="L7" i="2" s="1"/>
  <c r="L11" i="2" s="1"/>
  <c r="G5" i="2"/>
  <c r="G6" i="2" s="1"/>
  <c r="G7" i="2" s="1"/>
  <c r="G11" i="2" s="1"/>
  <c r="H5" i="2"/>
  <c r="H6" i="2" s="1"/>
  <c r="H7" i="2" s="1"/>
  <c r="H11" i="2" s="1"/>
  <c r="J5" i="2"/>
  <c r="J6" i="2" s="1"/>
  <c r="J7" i="2" s="1"/>
  <c r="J11" i="2" s="1"/>
  <c r="M5" i="2"/>
  <c r="M6" i="2" s="1"/>
  <c r="M7" i="2" s="1"/>
  <c r="M11" i="2" s="1"/>
  <c r="K5" i="2"/>
  <c r="K6" i="2" s="1"/>
  <c r="K7" i="2" s="1"/>
  <c r="K11" i="2" s="1"/>
  <c r="I5" i="2"/>
  <c r="I6" i="2" s="1"/>
  <c r="I7" i="2" s="1"/>
  <c r="I11" i="2" s="1"/>
  <c r="E22" i="2"/>
  <c r="E23" i="2" s="1"/>
  <c r="E24" i="2" s="1"/>
  <c r="F21" i="2"/>
  <c r="F22" i="2" s="1"/>
  <c r="F23" i="2" s="1"/>
  <c r="C22" i="2"/>
  <c r="C23" i="2" s="1"/>
  <c r="C24" i="2" s="1"/>
  <c r="D6" i="2" l="1"/>
  <c r="D7" i="2" s="1"/>
  <c r="D10" i="2" s="1"/>
  <c r="D22" i="2"/>
  <c r="D23" i="2" s="1"/>
  <c r="D24" i="2" s="1"/>
  <c r="E6" i="2"/>
  <c r="F4" i="2"/>
  <c r="F5" i="2" s="1"/>
  <c r="F6" i="2" l="1"/>
  <c r="C35" i="2"/>
  <c r="D11" i="2" l="1"/>
  <c r="C16" i="2" s="1"/>
  <c r="F24" i="2" l="1"/>
  <c r="C26" i="2" l="1"/>
  <c r="C27" i="2" s="1"/>
  <c r="G50" i="7" l="1"/>
  <c r="F7" i="2"/>
  <c r="F11" i="2" s="1"/>
  <c r="F16" i="2" l="1"/>
  <c r="M16" i="2" l="1"/>
  <c r="H16" i="2"/>
  <c r="K16" i="2"/>
  <c r="G16" i="2"/>
  <c r="L16" i="2"/>
  <c r="J16" i="2"/>
  <c r="I16" i="2"/>
  <c r="E7" i="2"/>
  <c r="E11" i="2" s="1"/>
  <c r="D16" i="2" s="1"/>
  <c r="C13" i="7"/>
  <c r="E16" i="2" l="1"/>
  <c r="C50" i="7"/>
  <c r="C31" i="2" l="1"/>
  <c r="C32" i="2" s="1"/>
  <c r="G51" i="7" s="1"/>
  <c r="G49" i="7" l="1"/>
  <c r="C39" i="2"/>
  <c r="C33" i="2"/>
  <c r="C34" i="2" s="1"/>
  <c r="C51" i="7" s="1"/>
  <c r="F16" i="10" l="1"/>
  <c r="C12" i="10"/>
  <c r="F41" i="10"/>
  <c r="F28" i="10"/>
  <c r="C20" i="7"/>
  <c r="C4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tc={2208349B-DCDF-4086-A757-D590633A80F2}</author>
    <author>tc={E8BE9177-AEE6-4FEF-823A-3099F3C35689}</author>
    <author>tc={A3EF8E58-F222-458F-A509-03EE9A1AB850}</author>
  </authors>
  <commentList>
    <comment ref="B20" authorId="0" shapeId="0" xr:uid="{2208349B-DCDF-4086-A757-D590633A80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Calculated at a 10% discount rate, with 8.100 HH reached, the budget being required to replicate implementation (excluding 14% indirect costs), 7% expected income increase, not considering assets and a baseline HH income of 135.525 ETB.</t>
      </text>
    </comment>
    <comment ref="B27" authorId="1" shapeId="0" xr:uid="{E8BE9177-AEE6-4FEF-823A-3099F3C356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Assets not conisdered;  Expected income increase (proxied by consumption expenditure in Year 2) = 7%; Baseline Income 100.000 ETB</t>
      </text>
    </comment>
    <comment ref="B28" authorId="2" shapeId="0" xr:uid="{A3EF8E58-F222-458F-A509-03EE9A1AB8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135.000 ETB Baseline Income; 41$ asset increase; 17% expected income increase (proxied by consumption expenditure in Year 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tc={74E0CAB8-ADCB-4351-AACC-39CB456EC69E}</author>
  </authors>
  <commentList>
    <comment ref="C19" authorId="0" shapeId="0" xr:uid="{74E0CAB8-ADCB-4351-AACC-39CB456EC6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tc={3D68DBEE-0070-4995-A874-5A4F2C567107}</author>
    <author>tc={B522C1A3-6BD8-49FB-ADA4-5EAAE3C890CB}</author>
  </authors>
  <commentList>
    <comment ref="C21" authorId="0" shapeId="0" xr:uid="{3D68DBEE-0070-4995-A874-5A4F2C5671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Includess 197.620,00 € Cofunding
Antwort:
    Excludes 2.412€ Budget for Head of Research as this costs are irrrespective of implementation
</t>
      </text>
    </comment>
    <comment ref="B40" authorId="1" shapeId="0" xr:uid="{B522C1A3-6BD8-49FB-ADA4-5EAAE3C890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 year horizon; 5% Discount Rate; including assets; non-implementation cost share 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tc={B58282A2-D493-4B66-B3B2-BE18FA929E13}</author>
    <author>tc={0BACF9AB-133B-4F1D-84B3-9DE11940374B}</author>
    <author>tc={23FEF1C5-264E-4F0C-B691-C05C20CC8FAF}</author>
  </authors>
  <commentList>
    <comment ref="C7" authorId="0" shapeId="0" xr:uid="{B58282A2-D493-4B66-B3B2-BE18FA929E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
      </text>
    </comment>
    <comment ref="D7" authorId="1" shapeId="0" xr:uid="{0BACF9AB-133B-4F1D-84B3-9DE1194037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
      </text>
    </comment>
    <comment ref="F22" authorId="2" shapeId="0" xr:uid="{23FEF1C5-264E-4F0C-B691-C05C20CC8F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VEN01 Budget includes 14% indirect costs</t>
      </text>
    </comment>
  </commentList>
</comments>
</file>

<file path=xl/sharedStrings.xml><?xml version="1.0" encoding="utf-8"?>
<sst xmlns="http://schemas.openxmlformats.org/spreadsheetml/2006/main" count="199" uniqueCount="166">
  <si>
    <t>HWG Impact Model:</t>
  </si>
  <si>
    <t>Village Enterprise - HARVEST</t>
  </si>
  <si>
    <t>Overview</t>
  </si>
  <si>
    <t>Project name</t>
  </si>
  <si>
    <t>Village Enterprise's Poverty Graduation Approach in Coffee Farming in Ethiopia</t>
  </si>
  <si>
    <t>Implementing partner</t>
  </si>
  <si>
    <t>Village Enterprise</t>
  </si>
  <si>
    <t>Evaluation partner</t>
  </si>
  <si>
    <t>IPA; PIRC</t>
  </si>
  <si>
    <t>Project country</t>
  </si>
  <si>
    <t>Ethiopia</t>
  </si>
  <si>
    <t>Project region</t>
  </si>
  <si>
    <t>Kaffa</t>
  </si>
  <si>
    <t>Project duration</t>
  </si>
  <si>
    <t>11/2025 - 03/2029</t>
  </si>
  <si>
    <t>Objective</t>
  </si>
  <si>
    <t>Integrates business training, seed capital grants, business mentoring, and business savings groups, fostering sustainable micro-enterprise development, income diversification and resilience-building among individuals living in coffee-producing areas.</t>
  </si>
  <si>
    <t>Budget (2025 nominal EUR)</t>
  </si>
  <si>
    <t>Outreach</t>
  </si>
  <si>
    <t>Households</t>
  </si>
  <si>
    <t>Date of Analysis / Version</t>
  </si>
  <si>
    <t>Author</t>
  </si>
  <si>
    <t>Marlene Gutiérrez</t>
  </si>
  <si>
    <t>SROI</t>
  </si>
  <si>
    <r>
      <t xml:space="preserve">Total SROI
</t>
    </r>
    <r>
      <rPr>
        <sz val="10"/>
        <color theme="1"/>
        <rFont val="Pero ExtraBold"/>
        <family val="2"/>
      </rPr>
      <t>(10 year time frame)</t>
    </r>
  </si>
  <si>
    <t>Type</t>
  </si>
  <si>
    <t>Forecast</t>
  </si>
  <si>
    <t>Level of certainty*</t>
  </si>
  <si>
    <t>Medium</t>
  </si>
  <si>
    <t>Data Source of Impact Estimates</t>
  </si>
  <si>
    <t>Development Impact Bond Evaluation - 2021</t>
  </si>
  <si>
    <t>DREAMS Ethiopia Endline Report 1</t>
  </si>
  <si>
    <t>SROI thresholds</t>
  </si>
  <si>
    <r>
      <t>Sensitivity Analysis</t>
    </r>
    <r>
      <rPr>
        <sz val="10"/>
        <color theme="1"/>
        <rFont val="Pero ExtraBold"/>
        <family val="2"/>
      </rPr>
      <t xml:space="preserve"> 
(most influential parameter set)</t>
    </r>
  </si>
  <si>
    <t>Baseline Income; Expected additional net asset value per HH (in 2021 USD) + Income effect</t>
  </si>
  <si>
    <t>Conservative SROI</t>
  </si>
  <si>
    <t>Optimistic SROI</t>
  </si>
  <si>
    <t>Details of HWG Evaluation (HARVEST Project)</t>
  </si>
  <si>
    <t>Evaluation methodology</t>
  </si>
  <si>
    <t>Cluster randomized controlled trial, Saturation design</t>
  </si>
  <si>
    <t>Primary outcome</t>
  </si>
  <si>
    <t>Increase in income proxied by consumption expenditure</t>
  </si>
  <si>
    <t>Income measurement</t>
  </si>
  <si>
    <t>Measured via consumption module</t>
  </si>
  <si>
    <t>Sample size per cohort</t>
  </si>
  <si>
    <t>3360 (1600 per cohort plus 160 attrition)</t>
  </si>
  <si>
    <t>Study population</t>
  </si>
  <si>
    <t>Households residing in project Villages</t>
  </si>
  <si>
    <t>Methodological rigor*</t>
  </si>
  <si>
    <t>Excellent</t>
  </si>
  <si>
    <t xml:space="preserve">Findings on other outcomes </t>
  </si>
  <si>
    <t>TBD</t>
  </si>
  <si>
    <t>Other outcomes will include 
1. Assets 
2. Reinvestment of additional income in the coffee production activities
3. Households well-being and agency
3. Spillover effects on non-participating households in project Villages</t>
  </si>
  <si>
    <t>Present Value vs Costs</t>
  </si>
  <si>
    <t>PV per HH</t>
  </si>
  <si>
    <t>Present Value (in 2021 EUR)</t>
  </si>
  <si>
    <t>Costs per HH</t>
  </si>
  <si>
    <t>Project Costs discounted (in 2021 EUR)</t>
  </si>
  <si>
    <t>NPV per HH</t>
  </si>
  <si>
    <t>Net Present Value (in 2021 EUR)</t>
  </si>
  <si>
    <t>* Definitions see tab "Info"</t>
  </si>
  <si>
    <t>1) HARVEST Theory of Change</t>
  </si>
  <si>
    <t>2) Village Enterprise core approach Theory of Change</t>
  </si>
  <si>
    <t>3) HereWeGrow Impact Map</t>
  </si>
  <si>
    <t>1) Details of the Analysis</t>
  </si>
  <si>
    <t>Impact Measure*</t>
  </si>
  <si>
    <t>Household consumption expenditure</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</si>
  <si>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</si>
  <si>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</si>
  <si>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</si>
  <si>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</si>
  <si>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</si>
  <si>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</si>
  <si>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</si>
  <si>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</si>
  <si>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Discount rate*</t>
  </si>
  <si>
    <t>3) External parameters used in the analysis</t>
  </si>
  <si>
    <t>Inflation Rates*</t>
  </si>
  <si>
    <t>Year</t>
  </si>
  <si>
    <t>Ethiopia (GDP deflator; base year=2015/2016)</t>
  </si>
  <si>
    <t>Germany (GDP deflator; base year=2015/2016)</t>
  </si>
  <si>
    <t>USA (GDP deflator; base year=2015/2016)</t>
  </si>
  <si>
    <t xml:space="preserve">Source: IMF GDP deflator </t>
  </si>
  <si>
    <t>Exchange rates</t>
  </si>
  <si>
    <t>Ex ETB_EUR</t>
  </si>
  <si>
    <t>Ex USD_EUR</t>
  </si>
  <si>
    <t>Source: exchange-rate.org (2021 Average)</t>
  </si>
  <si>
    <t>I</t>
  </si>
  <si>
    <t>Assets considered</t>
  </si>
  <si>
    <t>No</t>
  </si>
  <si>
    <t>Non-implementation costs share*</t>
  </si>
  <si>
    <t>Income Effects</t>
  </si>
  <si>
    <t>Assumption</t>
  </si>
  <si>
    <t>Value</t>
  </si>
  <si>
    <t>Source</t>
  </si>
  <si>
    <t>Link</t>
  </si>
  <si>
    <t>Notes</t>
  </si>
  <si>
    <t>Annual HH consumption in nominal 2023 ETB</t>
  </si>
  <si>
    <t>Baseline p. 55 (only average)</t>
  </si>
  <si>
    <t>Digital Green IICoF Baseline Report</t>
  </si>
  <si>
    <t>74,26*365*5 (Median Daily Per Capita Consumption Jimma Coffee Farmers = 74,26 ETB ; Averg. HH size =5; Calculated from DG Baseline Dataset Jimma_Coff_consumption_aggregate.dta; Baseline consumption estimate sourced from Digital Green project (2023), collected across 4 Woredas in Jimma Zone and deflated to real 2021 values. Applied as a proxy for this project's Woredas in Keffa Zone. Note that Keffa differs from Jimma in agroecological profile and livelihood mix, which introduces additional uncertainty into this estimate. This estimate will be updated once project-specific consumption data from the region becomes available.</t>
  </si>
  <si>
    <t xml:space="preserve"> </t>
  </si>
  <si>
    <t>Annual HH consumption in real 2026 ETB</t>
  </si>
  <si>
    <t>Expected income increase (proxied by consumption expenditure in Year 2)</t>
  </si>
  <si>
    <t>VE assumption (conservative)</t>
  </si>
  <si>
    <t>Conservative estimate based on DIB Endline Evaluation in Uganda and Kenya published in 2021 which found an average monthly consumption increase of 6.3% overall and 3,5% in Uganda and 7.3% in Keyna</t>
  </si>
  <si>
    <t>Expected additional net asset value per HH (in 2021 USD)</t>
  </si>
  <si>
    <t>Conservative estimate based on DIB findings that households in the treatment group had USD 40.5 (or 5.8%) more in net assets than those in the control group. Similar to  consumption, the program effect for households in Kenya (60.9 USD or 8.5%) was larger than the effect for households in Uganda (15.6 USD or 2.3%).</t>
  </si>
  <si>
    <t>2) Number of reached HH per year</t>
  </si>
  <si>
    <t>Cycle</t>
  </si>
  <si>
    <t>Planned</t>
  </si>
  <si>
    <t>Actual</t>
  </si>
  <si>
    <t>Cohort 1 2026</t>
  </si>
  <si>
    <t>Cohort 2 2026</t>
  </si>
  <si>
    <t>Cohort 3 2027</t>
  </si>
  <si>
    <t>Cohort 4 2027</t>
  </si>
  <si>
    <t>Cohort 5 2027</t>
  </si>
  <si>
    <t>Total</t>
  </si>
  <si>
    <t>Number of years since participation</t>
  </si>
  <si>
    <t>Project Lifetime</t>
  </si>
  <si>
    <t>Beyond Project Lifetime</t>
  </si>
  <si>
    <t>Annual increase in consumption expenditure</t>
  </si>
  <si>
    <t>Additional income per HH (in real 2026 ETB)</t>
  </si>
  <si>
    <t>Additional income per HH, discounted (in real 2026 ETB)</t>
  </si>
  <si>
    <t>Additional income per HH, discounted (in real 2021 ETB)</t>
  </si>
  <si>
    <t>Additional income per HH, discounted (in real 2021 EUR)</t>
  </si>
  <si>
    <t>Net asset value increase</t>
  </si>
  <si>
    <t>Additional net asset value per HH (in 2021 USD)</t>
  </si>
  <si>
    <t>Additional net asset value per HH, discounted (in 2021 USD)</t>
  </si>
  <si>
    <t>Additional net asset value per HH (in real 2021 EUR)</t>
  </si>
  <si>
    <t>Incremental Cash-flow, discounted (in real 2024 EUR)</t>
  </si>
  <si>
    <t>Project Costs (in nominal EUR)</t>
  </si>
  <si>
    <t>Project Costs (in real 2026 EUR)</t>
  </si>
  <si>
    <t>Project Cost, discounted (in real 2026 EUR)</t>
  </si>
  <si>
    <t>Project Cost, discounted (in real 2021 EUR)</t>
  </si>
  <si>
    <t>Project costs discounted (in 2021 EUR)</t>
  </si>
  <si>
    <t>Costs per HH discounted (in 2021 EUR)</t>
  </si>
  <si>
    <t xml:space="preserve">Present Value (in real 2021 EUR) </t>
  </si>
  <si>
    <t xml:space="preserve">Total Project Net Present Value (in real 2021 EUR) </t>
  </si>
  <si>
    <t xml:space="preserve">Present Value per HH  (in real 2021 EUR) </t>
  </si>
  <si>
    <t xml:space="preserve">Net Present Value per HH (in real 2021 EUR) </t>
  </si>
  <si>
    <t>Relative increase in HH income</t>
  </si>
  <si>
    <t xml:space="preserve">Social Return on Investment (SROI) </t>
  </si>
  <si>
    <t>SROI = Total Benefits/ Project Costs</t>
  </si>
  <si>
    <t>Village Enterprise SROI</t>
  </si>
  <si>
    <t>Discount rate</t>
  </si>
  <si>
    <t>Non-implementation cost share</t>
  </si>
  <si>
    <t>Annual HH consumption in nominal 2023 ETB (Baseline Income)</t>
  </si>
  <si>
    <t>Income effect</t>
  </si>
  <si>
    <r>
      <t xml:space="preserve">
The sensitivity analysis examines how varying assumptions on outreach, costs, and baseline income levels affect the SROI. The base case yields an SROI of  2.2 calculated at a 10% discount rate, with 8.100 HH reached, the full budget including indirect costs, and a baseline HH income of 135.525 ETB.
</t>
    </r>
    <r>
      <rPr>
        <b/>
        <sz val="12"/>
        <color theme="1"/>
        <rFont val="Pero"/>
        <family val="2"/>
      </rPr>
      <t xml:space="preserve">Non-Implementation Cost Share: </t>
    </r>
    <r>
      <rPr>
        <sz val="12"/>
        <color theme="1"/>
        <rFont val="Pero"/>
        <family val="2"/>
      </rPr>
      <t>The base case assumes a non-implementation cost share of 0%, meaning that the full budget is treated as the cost base and overhad management costs are included. The official project budget includes a 14% indirect cost rate. Excluding these costs from the SROI denominator — on the grounds that they represent organizational overhead independent of this project — increases the SROI by approximately 0.3 compared to including the costs.</t>
    </r>
    <r>
      <rPr>
        <b/>
        <sz val="12"/>
        <color theme="1"/>
        <rFont val="Pero"/>
        <family val="2"/>
      </rPr>
      <t xml:space="preserve">
Baseline Income and Income Effect: </t>
    </r>
    <r>
      <rPr>
        <sz val="12"/>
        <color theme="1"/>
        <rFont val="Pero"/>
        <family val="2"/>
      </rPr>
      <t xml:space="preserve">The assumed baseline HH income and the applied income effect together have the strongest influence on the SROI. The base case applies a conservative income effect of 7%, in line with the Minimum Detectable Effect of the HARVEST project evaluation. More recent impact evaluations of comparable Village Enterprise interventions have found income increases of up to 17%, which would more than double the base case SROI to 5,3. The baseline income assumption further amplifies this sensitivity: lower assumed baseline incomes increase the relative significance of a given absolute income gain and should therefore be carefully validated.
</t>
    </r>
    <r>
      <rPr>
        <b/>
        <sz val="12"/>
        <color theme="1"/>
        <rFont val="Pero"/>
        <family val="2"/>
      </rPr>
      <t xml:space="preserve">Additonal net asset value: </t>
    </r>
    <r>
      <rPr>
        <sz val="12"/>
        <color theme="1"/>
        <rFont val="Pero"/>
        <family val="2"/>
      </rPr>
      <t>The additional net asset value per HH has a limited effect on the SROI. The base case applies a conservative effect of 40,5$ at year 2. In the DIB Evaluation the asset increase was up to 60,1$ in the case of Kenya which would only increase the SROI by 0,1 points. 
Overall, the sensitivity analysis confirms that the SROI is most sensitive to the income effect and baseline income assumptions, while remaining relatively robust to variations in outreach numbers and overhead cost allocation. Even under conservative assumptions, the project generates a positive return, and under more optimistic but empirically grounded scenarios the SROI increases substantially.</t>
    </r>
  </si>
  <si>
    <t>Sensitivity analysis</t>
  </si>
  <si>
    <t>Driver</t>
  </si>
  <si>
    <t>Base</t>
  </si>
  <si>
    <t>Note</t>
  </si>
  <si>
    <t>Master input. Assumptions reads this cell.</t>
  </si>
  <si>
    <t>Master input. % will be deducted from annual budget.</t>
  </si>
  <si>
    <t>Set "Assets considered" = "Yes" to test</t>
  </si>
  <si>
    <t>To test different scenarios change the data in colum "Value". Reinsert the values from colum "Base" into the column "Value" to reproduce the original model.</t>
  </si>
  <si>
    <t>1) Incremental Cash-flows HH level, based endline and assumptions (C23)</t>
  </si>
  <si>
    <t>2) Incremental cash-flow total project discounted</t>
  </si>
  <si>
    <t xml:space="preserve">3) Project Costs </t>
  </si>
  <si>
    <t>4) Present Value (in 2021 EUR)</t>
  </si>
  <si>
    <t>5) Project SROI</t>
  </si>
  <si>
    <t>v2</t>
  </si>
  <si>
    <t>SROI (based on entries in column "Value")</t>
  </si>
  <si>
    <t>Non-implementation cost share deducted*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</si>
</sst>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0\ &quot;€&quot;;\-#,##0\ &quot;€&quot;"/>
    <numFmt numFmtId="43" formatCode="_-* #,##0.00_-;\-* #,##0.00_-;_-* &quot;-&quot;??_-;_-@_-"/>
    <numFmt numFmtId="164" formatCode="_-* #,##0_-;\-* #,##0_-;_-* &quot;-&quot;??_-;_-@_-"/>
    <numFmt numFmtId="165" formatCode="_-* #,##0.00\ [$€-407]_-;\-* #,##0.00\ [$€-407]_-;_-* &quot;-&quot;??\ [$€-407]_-;_-@_-"/>
    <numFmt numFmtId="166" formatCode="#,##0\ &quot;€&quot;"/>
    <numFmt numFmtId="167" formatCode="0.0"/>
    <numFmt numFmtId="168" formatCode="_-* #,##0\ [$€-407]_-;\-* #,##0\ [$€-407]_-;_-* &quot;-&quot;\ [$€-407]_-;_-@_-"/>
    <numFmt numFmtId="169" formatCode="_-* #,##0.0\ [$€-407]_-;\-* #,##0.0\ [$€-407]_-;_-* &quot;-&quot;?\ [$€-407]_-;_-@_-"/>
    <numFmt numFmtId="170" formatCode="0.000"/>
    <numFmt numFmtId="171" formatCode="#,##0.00\ &quot;€&quot;"/>
    <numFmt numFmtId="172" formatCode="#,##0_ ;\-#,##0\ "/>
    <numFmt numFmtId="173" formatCode="0.0%"/>
    <numFmt numFmtId="174" formatCode="#,##0\ [$ETB]"/>
    <numFmt numFmtId="175" formatCode="0.0000"/>
    <numFmt numFmtId="176" formatCode="#,##0\ _€"/>
    <numFmt numFmtId="177" formatCode="[$$-409]#,##0"/>
  </numFmts>
  <fonts count="50" x14ac:knownFonts="1">
    <font>
      <sz val="11"/>
      <color theme="1"/>
      <name val="Calibri"/>
      <family val="2"/>
      <scheme val="minor"/>
    </font>
    <font>
      <sz val="11"/>
      <color theme="1"/>
      <name val="Calibri"/>
      <family val="2"/>
      <scheme val="minor"/>
    </font>
    <font>
      <sz val="11"/>
      <color theme="1"/>
      <name val="Pero"/>
      <family val="2"/>
    </font>
    <font>
      <u/>
      <sz val="11"/>
      <color theme="10"/>
      <name val="Calibri"/>
      <family val="2"/>
      <scheme val="minor"/>
    </font>
    <font>
      <sz val="16"/>
      <color theme="1"/>
      <name val="Pero ExtraBold"/>
      <family val="2"/>
    </font>
    <font>
      <sz val="11"/>
      <name val="Pero"/>
      <family val="2"/>
    </font>
    <font>
      <b/>
      <sz val="11"/>
      <color theme="1"/>
      <name val="Pero"/>
      <family val="2"/>
    </font>
    <font>
      <b/>
      <sz val="14"/>
      <color theme="1"/>
      <name val="Calibri"/>
      <family val="2"/>
      <scheme val="minor"/>
    </font>
    <font>
      <b/>
      <sz val="12"/>
      <color theme="1"/>
      <name val="Pero ExtraBold"/>
      <family val="2"/>
    </font>
    <font>
      <b/>
      <sz val="16"/>
      <color theme="1"/>
      <name val="Pero ExtraBold"/>
      <family val="2"/>
    </font>
    <font>
      <sz val="20"/>
      <color theme="1"/>
      <name val="Pero ExtraBold"/>
      <family val="2"/>
    </font>
    <font>
      <i/>
      <sz val="11"/>
      <color theme="1"/>
      <name val="Calibri"/>
      <family val="2"/>
      <scheme val="minor"/>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sz val="11"/>
      <color rgb="FF3F3F76"/>
      <name val="Pero"/>
      <family val="2"/>
    </font>
    <font>
      <b/>
      <sz val="14"/>
      <color indexed="8"/>
      <name val="Calibri"/>
      <family val="2"/>
      <scheme val="minor"/>
    </font>
    <font>
      <sz val="14"/>
      <color rgb="FFFF0000"/>
      <name val="Calibri"/>
      <family val="2"/>
      <scheme val="minor"/>
    </font>
    <font>
      <b/>
      <sz val="11"/>
      <color theme="1"/>
      <name val="Calibri"/>
      <family val="2"/>
      <scheme val="minor"/>
    </font>
    <font>
      <b/>
      <sz val="11"/>
      <color indexed="8"/>
      <name val="Pero"/>
      <family val="2"/>
    </font>
    <font>
      <sz val="8"/>
      <color theme="1"/>
      <name val="Pero"/>
      <family val="2"/>
    </font>
    <font>
      <b/>
      <sz val="11"/>
      <color theme="1"/>
      <name val="Pero ExtraBold"/>
      <family val="2"/>
    </font>
    <font>
      <b/>
      <sz val="16"/>
      <color indexed="8"/>
      <name val="Pero"/>
      <family val="2"/>
    </font>
    <font>
      <b/>
      <sz val="14"/>
      <color theme="1"/>
      <name val="Pero"/>
      <family val="2"/>
    </font>
    <font>
      <b/>
      <sz val="14"/>
      <color theme="0"/>
      <name val="Pero"/>
      <family val="2"/>
    </font>
    <font>
      <sz val="10"/>
      <color rgb="FF000000"/>
      <name val="Pero"/>
      <family val="2"/>
    </font>
    <font>
      <b/>
      <sz val="14"/>
      <name val="Pero"/>
      <family val="2"/>
    </font>
    <font>
      <b/>
      <sz val="12"/>
      <color theme="1"/>
      <name val="Pero"/>
      <family val="2"/>
    </font>
    <font>
      <sz val="12"/>
      <color theme="1"/>
      <name val="Pero"/>
      <family val="2"/>
    </font>
    <font>
      <sz val="11"/>
      <color theme="0"/>
      <name val="Calibri"/>
      <family val="2"/>
      <scheme val="minor"/>
    </font>
    <font>
      <u/>
      <sz val="11"/>
      <color theme="10"/>
      <name val="Pero"/>
      <family val="2"/>
    </font>
    <font>
      <sz val="11"/>
      <color rgb="FF000000"/>
      <name val="Pero"/>
      <family val="2"/>
    </font>
    <font>
      <sz val="10"/>
      <color theme="0"/>
      <name val="Pero"/>
      <family val="2"/>
    </font>
    <font>
      <sz val="11"/>
      <color theme="1"/>
      <name val="Pero ExtraBold"/>
      <family val="2"/>
    </font>
    <font>
      <sz val="12"/>
      <color theme="1"/>
      <name val="Pero ExtraBold"/>
      <family val="2"/>
    </font>
    <font>
      <sz val="12"/>
      <color theme="1"/>
      <name val="Calibri"/>
      <family val="2"/>
      <scheme val="minor"/>
    </font>
    <font>
      <b/>
      <sz val="14"/>
      <color indexed="8"/>
      <name val="Pero ExtraBold"/>
      <family val="2"/>
    </font>
    <font>
      <sz val="14"/>
      <color indexed="8"/>
      <name val="Pero ExtraBold"/>
      <family val="2"/>
    </font>
    <font>
      <sz val="12"/>
      <name val="Pero ExtraBold"/>
      <family val="2"/>
    </font>
    <font>
      <sz val="10"/>
      <color theme="1"/>
      <name val="Pero ExtraBold"/>
      <family val="2"/>
    </font>
    <font>
      <sz val="11"/>
      <name val="Pero ExtraBold"/>
      <family val="2"/>
    </font>
    <font>
      <sz val="10"/>
      <name val="Pero"/>
      <family val="2"/>
    </font>
    <font>
      <sz val="10"/>
      <color theme="1"/>
      <name val="Pero"/>
      <family val="2"/>
    </font>
    <font>
      <b/>
      <sz val="14"/>
      <color theme="1"/>
      <name val="Pero"/>
    </font>
    <font>
      <sz val="14"/>
      <color theme="1"/>
      <name val="Pero ExtraBold"/>
      <family val="2"/>
    </font>
    <font>
      <b/>
      <sz val="11"/>
      <color theme="1"/>
      <name val="Pero"/>
    </font>
    <font>
      <sz val="11"/>
      <color theme="1"/>
      <name val="Pero"/>
    </font>
    <font>
      <i/>
      <sz val="11"/>
      <color theme="1"/>
      <name val="Pero"/>
      <family val="2"/>
    </font>
  </fonts>
  <fills count="13">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C8AFBE"/>
        <bgColor indexed="64"/>
      </patternFill>
    </fill>
    <fill>
      <patternFill patternType="solid">
        <fgColor rgb="FFFFCC99"/>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
      <patternFill patternType="solid">
        <fgColor rgb="FFDCA591"/>
        <bgColor indexed="64"/>
      </patternFill>
    </fill>
    <fill>
      <patternFill patternType="solid">
        <fgColor rgb="FFCDD2B4"/>
        <bgColor indexed="64"/>
      </patternFill>
    </fill>
    <fill>
      <patternFill patternType="solid">
        <fgColor rgb="FFF0D7AA"/>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tint="-0.499984740745262"/>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s>
  <cellStyleXfs count="6">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12" fillId="5" borderId="5" applyNumberFormat="0" applyAlignment="0" applyProtection="0"/>
    <xf numFmtId="0" fontId="13" fillId="0" borderId="0"/>
  </cellStyleXfs>
  <cellXfs count="247">
    <xf numFmtId="0" fontId="0" fillId="0" borderId="0" xfId="0"/>
    <xf numFmtId="0" fontId="2" fillId="0" borderId="0" xfId="0" applyFont="1"/>
    <xf numFmtId="0" fontId="2" fillId="0" borderId="1" xfId="0" applyFont="1" applyBorder="1"/>
    <xf numFmtId="0" fontId="6" fillId="0" borderId="0" xfId="0" applyFont="1"/>
    <xf numFmtId="0" fontId="8" fillId="4" borderId="2" xfId="0" applyFont="1" applyFill="1" applyBorder="1" applyAlignment="1">
      <alignment horizontal="right"/>
    </xf>
    <xf numFmtId="0" fontId="8" fillId="4" borderId="2" xfId="0" applyFont="1" applyFill="1" applyBorder="1" applyAlignment="1">
      <alignment horizontal="left"/>
    </xf>
    <xf numFmtId="164" fontId="2" fillId="0" borderId="1" xfId="1" applyNumberFormat="1" applyFont="1" applyBorder="1" applyAlignment="1">
      <alignment horizontal="right"/>
    </xf>
    <xf numFmtId="0" fontId="14" fillId="3" borderId="0" xfId="5" applyFont="1" applyFill="1" applyAlignment="1">
      <alignment horizontal="left"/>
    </xf>
    <xf numFmtId="0" fontId="11" fillId="0" borderId="4" xfId="0" applyFont="1" applyBorder="1" applyAlignment="1">
      <alignment vertical="center" wrapText="1"/>
    </xf>
    <xf numFmtId="0" fontId="8" fillId="4" borderId="1" xfId="0" applyFont="1" applyFill="1" applyBorder="1" applyAlignment="1">
      <alignment horizontal="right"/>
    </xf>
    <xf numFmtId="166" fontId="5" fillId="0" borderId="1" xfId="0" applyNumberFormat="1" applyFont="1" applyBorder="1"/>
    <xf numFmtId="166" fontId="5" fillId="0" borderId="1" xfId="0" applyNumberFormat="1" applyFont="1" applyBorder="1" applyAlignment="1">
      <alignment horizontal="right"/>
    </xf>
    <xf numFmtId="0" fontId="14" fillId="3" borderId="4" xfId="5" applyFont="1" applyFill="1" applyBorder="1" applyAlignment="1">
      <alignment horizontal="left"/>
    </xf>
    <xf numFmtId="0" fontId="0" fillId="8" borderId="9" xfId="0" applyFill="1" applyBorder="1" applyAlignment="1">
      <alignment horizontal="left" vertical="center"/>
    </xf>
    <xf numFmtId="0" fontId="0" fillId="8" borderId="10" xfId="0" applyFill="1" applyBorder="1" applyAlignment="1">
      <alignment horizontal="left" vertical="center"/>
    </xf>
    <xf numFmtId="0" fontId="0" fillId="8" borderId="10" xfId="0" applyFill="1" applyBorder="1" applyAlignment="1">
      <alignment wrapText="1"/>
    </xf>
    <xf numFmtId="0" fontId="0" fillId="8" borderId="10" xfId="0" applyFill="1" applyBorder="1"/>
    <xf numFmtId="0" fontId="0" fillId="8" borderId="11" xfId="0" applyFill="1" applyBorder="1"/>
    <xf numFmtId="0" fontId="14" fillId="8" borderId="12" xfId="5" applyFont="1" applyFill="1" applyBorder="1" applyAlignment="1">
      <alignment horizontal="left"/>
    </xf>
    <xf numFmtId="0" fontId="24" fillId="9" borderId="0" xfId="5" applyFont="1" applyFill="1" applyAlignment="1">
      <alignment horizontal="left" vertical="center"/>
    </xf>
    <xf numFmtId="0" fontId="0" fillId="8" borderId="0" xfId="0" applyFill="1"/>
    <xf numFmtId="0" fontId="0" fillId="8" borderId="13" xfId="0" applyFill="1" applyBorder="1"/>
    <xf numFmtId="0" fontId="0" fillId="8" borderId="12" xfId="0" applyFill="1" applyBorder="1" applyAlignment="1">
      <alignment horizontal="left" vertical="center"/>
    </xf>
    <xf numFmtId="0" fontId="0" fillId="8" borderId="0" xfId="0" applyFill="1" applyAlignment="1">
      <alignment horizontal="left" vertical="center"/>
    </xf>
    <xf numFmtId="0" fontId="0" fillId="8" borderId="0" xfId="0" applyFill="1" applyAlignment="1">
      <alignment wrapText="1"/>
    </xf>
    <xf numFmtId="0" fontId="14" fillId="3" borderId="12" xfId="5" applyFont="1" applyFill="1" applyBorder="1" applyAlignment="1">
      <alignment horizontal="left" vertical="center"/>
    </xf>
    <xf numFmtId="0" fontId="14" fillId="3" borderId="0" xfId="5" applyFont="1" applyFill="1" applyAlignment="1">
      <alignment horizontal="left" wrapText="1"/>
    </xf>
    <xf numFmtId="0" fontId="2" fillId="3" borderId="0" xfId="0" applyFont="1" applyFill="1"/>
    <xf numFmtId="0" fontId="0" fillId="3" borderId="0" xfId="0" applyFill="1"/>
    <xf numFmtId="0" fontId="0" fillId="3" borderId="13" xfId="0" applyFill="1" applyBorder="1"/>
    <xf numFmtId="0" fontId="2" fillId="8" borderId="12" xfId="0" applyFont="1" applyFill="1" applyBorder="1"/>
    <xf numFmtId="0" fontId="14" fillId="8" borderId="0" xfId="5" applyFont="1" applyFill="1" applyAlignment="1">
      <alignment horizontal="left" vertical="center"/>
    </xf>
    <xf numFmtId="0" fontId="14" fillId="8" borderId="0" xfId="5" applyFont="1" applyFill="1" applyAlignment="1">
      <alignment horizontal="left" wrapText="1"/>
    </xf>
    <xf numFmtId="0" fontId="14" fillId="8" borderId="0" xfId="5" applyFont="1" applyFill="1" applyAlignment="1">
      <alignment horizontal="left"/>
    </xf>
    <xf numFmtId="0" fontId="2" fillId="8" borderId="0" xfId="0" applyFont="1" applyFill="1"/>
    <xf numFmtId="0" fontId="21" fillId="8" borderId="14" xfId="5" applyFont="1" applyFill="1" applyBorder="1" applyAlignment="1">
      <alignment horizontal="left" vertical="center"/>
    </xf>
    <xf numFmtId="0" fontId="2" fillId="8" borderId="14" xfId="0" applyFont="1" applyFill="1" applyBorder="1" applyAlignment="1">
      <alignment wrapText="1"/>
    </xf>
    <xf numFmtId="0" fontId="14" fillId="8" borderId="14" xfId="5" applyFont="1" applyFill="1" applyBorder="1" applyAlignment="1">
      <alignment horizontal="left"/>
    </xf>
    <xf numFmtId="0" fontId="6" fillId="8" borderId="14" xfId="0" applyFont="1" applyFill="1" applyBorder="1" applyAlignment="1">
      <alignment horizontal="left" vertical="center"/>
    </xf>
    <xf numFmtId="0" fontId="2" fillId="8" borderId="14" xfId="0" applyFont="1" applyFill="1" applyBorder="1"/>
    <xf numFmtId="0" fontId="3" fillId="8" borderId="14" xfId="2" applyFill="1" applyBorder="1" applyAlignment="1">
      <alignment wrapText="1"/>
    </xf>
    <xf numFmtId="0" fontId="2" fillId="8" borderId="14" xfId="0" quotePrefix="1" applyFont="1" applyFill="1" applyBorder="1" applyAlignment="1">
      <alignment wrapText="1"/>
    </xf>
    <xf numFmtId="171" fontId="2" fillId="8" borderId="14" xfId="0" applyNumberFormat="1" applyFont="1" applyFill="1" applyBorder="1" applyAlignment="1">
      <alignment horizontal="left" wrapText="1"/>
    </xf>
    <xf numFmtId="172" fontId="2" fillId="8" borderId="1" xfId="1" applyNumberFormat="1" applyFont="1" applyFill="1" applyBorder="1" applyAlignment="1">
      <alignment horizontal="left" vertical="center"/>
    </xf>
    <xf numFmtId="17" fontId="2" fillId="8" borderId="14" xfId="0" applyNumberFormat="1" applyFont="1" applyFill="1" applyBorder="1" applyAlignment="1">
      <alignment horizontal="left" wrapText="1"/>
    </xf>
    <xf numFmtId="0" fontId="2" fillId="8" borderId="0" xfId="0" applyFont="1" applyFill="1" applyAlignment="1">
      <alignment wrapText="1"/>
    </xf>
    <xf numFmtId="0" fontId="14" fillId="3" borderId="13" xfId="5" applyFont="1" applyFill="1" applyBorder="1" applyAlignment="1">
      <alignment horizontal="left"/>
    </xf>
    <xf numFmtId="0" fontId="14" fillId="8" borderId="12" xfId="5" applyFont="1" applyFill="1" applyBorder="1" applyAlignment="1">
      <alignment horizontal="left" vertical="center"/>
    </xf>
    <xf numFmtId="0" fontId="25" fillId="8" borderId="12" xfId="0" applyFont="1" applyFill="1" applyBorder="1" applyAlignment="1">
      <alignment horizontal="left" vertical="center"/>
    </xf>
    <xf numFmtId="0" fontId="6" fillId="8" borderId="12" xfId="0" applyFont="1" applyFill="1" applyBorder="1" applyAlignment="1">
      <alignment horizontal="left" vertical="center"/>
    </xf>
    <xf numFmtId="0" fontId="0" fillId="0" borderId="0" xfId="0" applyAlignment="1">
      <alignment horizontal="left" vertical="center"/>
    </xf>
    <xf numFmtId="0" fontId="0" fillId="0" borderId="0" xfId="0" applyAlignment="1">
      <alignment wrapText="1"/>
    </xf>
    <xf numFmtId="0" fontId="2" fillId="8" borderId="12" xfId="0" applyFont="1" applyFill="1" applyBorder="1" applyAlignment="1">
      <alignment horizontal="left" vertical="center"/>
    </xf>
    <xf numFmtId="0" fontId="2" fillId="8" borderId="0" xfId="0" applyFont="1" applyFill="1" applyAlignment="1">
      <alignment horizontal="left" vertical="center"/>
    </xf>
    <xf numFmtId="0" fontId="20" fillId="8" borderId="12" xfId="0" applyFont="1" applyFill="1" applyBorder="1" applyAlignment="1">
      <alignment horizontal="left" vertical="center"/>
    </xf>
    <xf numFmtId="0" fontId="20" fillId="8" borderId="0" xfId="0" applyFont="1" applyFill="1" applyAlignment="1">
      <alignment horizontal="left" vertical="center"/>
    </xf>
    <xf numFmtId="0" fontId="0" fillId="8" borderId="0" xfId="0" applyFill="1" applyAlignment="1">
      <alignment horizontal="left"/>
    </xf>
    <xf numFmtId="0" fontId="0" fillId="8" borderId="12" xfId="0" applyFill="1" applyBorder="1" applyAlignment="1">
      <alignment horizontal="left"/>
    </xf>
    <xf numFmtId="168" fontId="0" fillId="0" borderId="0" xfId="0" applyNumberFormat="1" applyAlignment="1">
      <alignment horizontal="left"/>
    </xf>
    <xf numFmtId="0" fontId="0" fillId="8" borderId="8" xfId="0" applyFill="1" applyBorder="1" applyAlignment="1">
      <alignment vertical="center"/>
    </xf>
    <xf numFmtId="166" fontId="0" fillId="8" borderId="0" xfId="0" applyNumberFormat="1" applyFill="1" applyAlignment="1">
      <alignment horizontal="left"/>
    </xf>
    <xf numFmtId="0" fontId="0" fillId="8" borderId="15" xfId="0" applyFill="1" applyBorder="1" applyAlignment="1">
      <alignment horizontal="left" vertical="center"/>
    </xf>
    <xf numFmtId="0" fontId="0" fillId="8" borderId="16" xfId="0" applyFill="1" applyBorder="1" applyAlignment="1">
      <alignment wrapText="1"/>
    </xf>
    <xf numFmtId="0" fontId="0" fillId="8" borderId="16" xfId="0" applyFill="1" applyBorder="1"/>
    <xf numFmtId="0" fontId="0" fillId="8" borderId="17" xfId="0" applyFill="1" applyBorder="1"/>
    <xf numFmtId="0" fontId="6" fillId="8" borderId="1" xfId="0" applyFont="1" applyFill="1" applyBorder="1" applyAlignment="1">
      <alignment horizontal="left"/>
    </xf>
    <xf numFmtId="0" fontId="5" fillId="8" borderId="14" xfId="2" applyFont="1" applyFill="1" applyBorder="1" applyAlignment="1">
      <alignment wrapText="1"/>
    </xf>
    <xf numFmtId="0" fontId="27" fillId="0" borderId="0" xfId="0" applyFont="1"/>
    <xf numFmtId="0" fontId="0" fillId="0" borderId="8" xfId="0" applyBorder="1"/>
    <xf numFmtId="0" fontId="0" fillId="0" borderId="4" xfId="0" applyBorder="1"/>
    <xf numFmtId="0" fontId="14" fillId="3" borderId="8" xfId="5" applyFont="1" applyFill="1" applyBorder="1" applyAlignment="1">
      <alignment horizontal="left"/>
    </xf>
    <xf numFmtId="0" fontId="0" fillId="0" borderId="20" xfId="0" applyBorder="1"/>
    <xf numFmtId="0" fontId="0" fillId="0" borderId="6" xfId="0" applyBorder="1"/>
    <xf numFmtId="0" fontId="0" fillId="0" borderId="21" xfId="0" applyBorder="1"/>
    <xf numFmtId="0" fontId="2" fillId="0" borderId="8" xfId="0" applyFont="1" applyBorder="1"/>
    <xf numFmtId="0" fontId="6" fillId="0" borderId="8" xfId="0" applyFont="1" applyBorder="1"/>
    <xf numFmtId="165" fontId="2" fillId="0" borderId="8" xfId="0" applyNumberFormat="1" applyFont="1" applyBorder="1"/>
    <xf numFmtId="0" fontId="28" fillId="3" borderId="0" xfId="5" applyFont="1" applyFill="1" applyAlignment="1">
      <alignment horizontal="left" vertical="center"/>
    </xf>
    <xf numFmtId="0" fontId="30" fillId="8" borderId="16" xfId="0" applyFont="1" applyFill="1" applyBorder="1" applyAlignment="1">
      <alignment horizontal="left" vertical="center"/>
    </xf>
    <xf numFmtId="0" fontId="6" fillId="8" borderId="22" xfId="0" applyFont="1" applyFill="1" applyBorder="1" applyAlignment="1">
      <alignment horizontal="left" vertical="center"/>
    </xf>
    <xf numFmtId="5" fontId="0" fillId="8" borderId="0" xfId="0" applyNumberFormat="1" applyFill="1" applyAlignment="1">
      <alignment wrapText="1"/>
    </xf>
    <xf numFmtId="0" fontId="24" fillId="9" borderId="0" xfId="5" applyFont="1" applyFill="1" applyAlignment="1">
      <alignment vertical="center"/>
    </xf>
    <xf numFmtId="0" fontId="14" fillId="3" borderId="7" xfId="5" applyFont="1" applyFill="1" applyBorder="1" applyAlignment="1">
      <alignment horizontal="left"/>
    </xf>
    <xf numFmtId="170" fontId="15" fillId="3" borderId="18" xfId="5" applyNumberFormat="1" applyFont="1" applyFill="1" applyBorder="1" applyAlignment="1">
      <alignment horizontal="center"/>
    </xf>
    <xf numFmtId="0" fontId="15" fillId="3" borderId="18" xfId="5" applyFont="1" applyFill="1" applyBorder="1"/>
    <xf numFmtId="0" fontId="14" fillId="3" borderId="18" xfId="5" applyFont="1" applyFill="1" applyBorder="1" applyAlignment="1">
      <alignment horizontal="left"/>
    </xf>
    <xf numFmtId="0" fontId="14" fillId="3" borderId="19" xfId="5" applyFont="1" applyFill="1" applyBorder="1" applyAlignment="1">
      <alignment horizontal="left"/>
    </xf>
    <xf numFmtId="0" fontId="16" fillId="0" borderId="4" xfId="5" applyFont="1" applyBorder="1"/>
    <xf numFmtId="0" fontId="18" fillId="3" borderId="8" xfId="5" applyFont="1" applyFill="1" applyBorder="1" applyAlignment="1">
      <alignment horizontal="left"/>
    </xf>
    <xf numFmtId="0" fontId="32" fillId="0" borderId="0" xfId="2" applyFont="1" applyFill="1"/>
    <xf numFmtId="173" fontId="2" fillId="0" borderId="6" xfId="0" applyNumberFormat="1" applyFont="1" applyBorder="1"/>
    <xf numFmtId="164" fontId="0" fillId="0" borderId="0" xfId="1" applyNumberFormat="1" applyFont="1" applyFill="1" applyBorder="1"/>
    <xf numFmtId="164" fontId="2" fillId="0" borderId="0" xfId="1" applyNumberFormat="1" applyFont="1" applyFill="1" applyBorder="1"/>
    <xf numFmtId="3" fontId="2" fillId="0" borderId="1" xfId="0" applyNumberFormat="1" applyFont="1" applyBorder="1"/>
    <xf numFmtId="3" fontId="6" fillId="0" borderId="1" xfId="0" applyNumberFormat="1" applyFont="1" applyBorder="1"/>
    <xf numFmtId="164" fontId="2" fillId="0" borderId="0" xfId="1" applyNumberFormat="1" applyFont="1" applyBorder="1"/>
    <xf numFmtId="3" fontId="2" fillId="6" borderId="1" xfId="0" applyNumberFormat="1" applyFont="1" applyFill="1" applyBorder="1"/>
    <xf numFmtId="0" fontId="2" fillId="0" borderId="1" xfId="0" applyFont="1" applyBorder="1" applyAlignment="1">
      <alignment vertical="center"/>
    </xf>
    <xf numFmtId="0" fontId="0" fillId="0" borderId="0" xfId="0" applyAlignment="1">
      <alignment vertical="center"/>
    </xf>
    <xf numFmtId="0" fontId="0" fillId="0" borderId="8" xfId="0" applyBorder="1" applyAlignment="1">
      <alignment vertical="center"/>
    </xf>
    <xf numFmtId="0" fontId="14" fillId="0" borderId="8" xfId="5" applyFont="1" applyBorder="1" applyAlignment="1">
      <alignment horizontal="left"/>
    </xf>
    <xf numFmtId="174" fontId="2" fillId="0" borderId="8" xfId="0" applyNumberFormat="1" applyFont="1" applyBorder="1" applyAlignment="1">
      <alignment horizontal="right" vertical="center"/>
    </xf>
    <xf numFmtId="9" fontId="17" fillId="0" borderId="0" xfId="3" applyFont="1" applyFill="1" applyBorder="1" applyAlignment="1">
      <alignment horizontal="center" vertical="center"/>
    </xf>
    <xf numFmtId="173" fontId="2" fillId="0" borderId="8" xfId="0" applyNumberFormat="1" applyFont="1" applyBorder="1"/>
    <xf numFmtId="170" fontId="15" fillId="3" borderId="0" xfId="5" applyNumberFormat="1" applyFont="1" applyFill="1" applyAlignment="1">
      <alignment horizontal="center" wrapText="1"/>
    </xf>
    <xf numFmtId="0" fontId="15" fillId="3" borderId="0" xfId="5" applyFont="1" applyFill="1"/>
    <xf numFmtId="170" fontId="15" fillId="3" borderId="0" xfId="5" applyNumberFormat="1" applyFont="1" applyFill="1" applyAlignment="1">
      <alignment horizontal="center"/>
    </xf>
    <xf numFmtId="168" fontId="0" fillId="0" borderId="0" xfId="0" applyNumberFormat="1"/>
    <xf numFmtId="0" fontId="10" fillId="0" borderId="0" xfId="0" applyFont="1" applyAlignment="1">
      <alignment horizontal="left" vertical="center"/>
    </xf>
    <xf numFmtId="0" fontId="0" fillId="0" borderId="0" xfId="0" applyAlignment="1">
      <alignment horizontal="left"/>
    </xf>
    <xf numFmtId="169" fontId="0" fillId="0" borderId="0" xfId="0" applyNumberFormat="1"/>
    <xf numFmtId="5" fontId="0" fillId="0" borderId="0" xfId="0" applyNumberFormat="1"/>
    <xf numFmtId="0" fontId="11" fillId="0" borderId="0" xfId="0" applyFont="1" applyAlignment="1">
      <alignment vertical="center" wrapText="1"/>
    </xf>
    <xf numFmtId="165" fontId="2" fillId="0" borderId="0" xfId="0" applyNumberFormat="1" applyFont="1"/>
    <xf numFmtId="0" fontId="6" fillId="8" borderId="0" xfId="0" applyFont="1" applyFill="1" applyAlignment="1">
      <alignment horizontal="left" vertical="center"/>
    </xf>
    <xf numFmtId="17" fontId="2" fillId="8" borderId="0" xfId="0" applyNumberFormat="1" applyFont="1" applyFill="1" applyAlignment="1">
      <alignment horizontal="left" wrapText="1"/>
    </xf>
    <xf numFmtId="0" fontId="2" fillId="0" borderId="1" xfId="0" applyFont="1" applyBorder="1" applyAlignment="1">
      <alignment horizontal="left"/>
    </xf>
    <xf numFmtId="173" fontId="6" fillId="11" borderId="6" xfId="0" applyNumberFormat="1" applyFont="1" applyFill="1" applyBorder="1"/>
    <xf numFmtId="173" fontId="6" fillId="11" borderId="8" xfId="0" applyNumberFormat="1" applyFont="1" applyFill="1" applyBorder="1"/>
    <xf numFmtId="174" fontId="6" fillId="11" borderId="8" xfId="0" applyNumberFormat="1" applyFont="1" applyFill="1" applyBorder="1" applyAlignment="1">
      <alignment horizontal="right" vertical="center"/>
    </xf>
    <xf numFmtId="0" fontId="32" fillId="0" borderId="1" xfId="2" applyFont="1" applyBorder="1" applyAlignment="1">
      <alignment horizontal="left" vertical="center"/>
    </xf>
    <xf numFmtId="0" fontId="8" fillId="4" borderId="4" xfId="0" applyFont="1" applyFill="1" applyBorder="1"/>
    <xf numFmtId="0" fontId="33" fillId="0" borderId="1" xfId="0" quotePrefix="1"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right"/>
    </xf>
    <xf numFmtId="0" fontId="36" fillId="4" borderId="24" xfId="0" applyFont="1" applyFill="1" applyBorder="1" applyAlignment="1">
      <alignment horizontal="right"/>
    </xf>
    <xf numFmtId="0" fontId="36" fillId="4" borderId="25" xfId="0" applyFont="1" applyFill="1" applyBorder="1"/>
    <xf numFmtId="0" fontId="36" fillId="4" borderId="24" xfId="0" applyFont="1" applyFill="1" applyBorder="1"/>
    <xf numFmtId="0" fontId="36" fillId="4" borderId="26" xfId="0" applyFont="1" applyFill="1" applyBorder="1"/>
    <xf numFmtId="0" fontId="37" fillId="0" borderId="0" xfId="0" applyFont="1"/>
    <xf numFmtId="0" fontId="37" fillId="0" borderId="8" xfId="0" applyFont="1" applyBorder="1"/>
    <xf numFmtId="0" fontId="36" fillId="4" borderId="1" xfId="0" applyFont="1" applyFill="1" applyBorder="1"/>
    <xf numFmtId="0" fontId="36" fillId="4" borderId="3" xfId="0" applyFont="1" applyFill="1" applyBorder="1"/>
    <xf numFmtId="0" fontId="7" fillId="0" borderId="0" xfId="0" applyFont="1"/>
    <xf numFmtId="0" fontId="8" fillId="4" borderId="1" xfId="0" applyFont="1" applyFill="1" applyBorder="1" applyAlignment="1">
      <alignment horizontal="left"/>
    </xf>
    <xf numFmtId="0" fontId="8" fillId="4" borderId="1" xfId="0" applyFont="1" applyFill="1" applyBorder="1"/>
    <xf numFmtId="0" fontId="39" fillId="3" borderId="0" xfId="5" applyFont="1" applyFill="1" applyAlignment="1">
      <alignment horizontal="left"/>
    </xf>
    <xf numFmtId="0" fontId="39" fillId="3" borderId="18" xfId="5" applyFont="1" applyFill="1" applyBorder="1" applyAlignment="1">
      <alignment horizontal="left"/>
    </xf>
    <xf numFmtId="0" fontId="38" fillId="3" borderId="0" xfId="5" applyFont="1" applyFill="1" applyAlignment="1">
      <alignment horizontal="left" vertical="center"/>
    </xf>
    <xf numFmtId="0" fontId="2" fillId="0" borderId="1" xfId="0" applyFont="1" applyBorder="1" applyAlignment="1">
      <alignment wrapText="1"/>
    </xf>
    <xf numFmtId="5" fontId="2" fillId="0" borderId="1" xfId="0" applyNumberFormat="1" applyFont="1" applyBorder="1"/>
    <xf numFmtId="0" fontId="8" fillId="0" borderId="1" xfId="0" applyFont="1" applyBorder="1" applyAlignment="1">
      <alignment vertical="center"/>
    </xf>
    <xf numFmtId="5" fontId="36" fillId="0" borderId="1" xfId="0" applyNumberFormat="1" applyFont="1" applyBorder="1" applyAlignment="1">
      <alignment vertical="center"/>
    </xf>
    <xf numFmtId="0" fontId="8" fillId="0" borderId="1" xfId="0" applyFont="1" applyBorder="1" applyAlignment="1">
      <alignment vertical="center" wrapText="1"/>
    </xf>
    <xf numFmtId="168" fontId="36" fillId="0" borderId="1" xfId="0" applyNumberFormat="1" applyFont="1" applyBorder="1" applyAlignment="1">
      <alignment vertical="center"/>
    </xf>
    <xf numFmtId="167" fontId="36" fillId="0" borderId="1" xfId="0" applyNumberFormat="1" applyFont="1" applyBorder="1" applyAlignment="1">
      <alignment vertical="center"/>
    </xf>
    <xf numFmtId="0" fontId="36" fillId="9" borderId="14" xfId="0" applyFont="1" applyFill="1" applyBorder="1" applyAlignment="1">
      <alignment horizontal="left" vertical="center" wrapText="1"/>
    </xf>
    <xf numFmtId="167" fontId="26" fillId="11" borderId="14" xfId="0" applyNumberFormat="1" applyFont="1" applyFill="1" applyBorder="1" applyAlignment="1">
      <alignment horizontal="left" vertical="center" wrapText="1"/>
    </xf>
    <xf numFmtId="0" fontId="32" fillId="0" borderId="1" xfId="2" applyFont="1" applyBorder="1" applyAlignment="1">
      <alignment vertical="center" wrapText="1"/>
    </xf>
    <xf numFmtId="0" fontId="21" fillId="4" borderId="1" xfId="5" applyFont="1" applyFill="1" applyBorder="1" applyAlignment="1">
      <alignment horizontal="left" vertical="center" wrapText="1"/>
    </xf>
    <xf numFmtId="0" fontId="33" fillId="7" borderId="1" xfId="0" applyFont="1" applyFill="1" applyBorder="1"/>
    <xf numFmtId="0" fontId="21" fillId="4" borderId="1" xfId="5" applyFont="1" applyFill="1" applyBorder="1" applyAlignment="1">
      <alignment horizontal="left" vertical="center"/>
    </xf>
    <xf numFmtId="0" fontId="32" fillId="0" borderId="0" xfId="2" applyFont="1" applyFill="1" applyBorder="1" applyAlignment="1"/>
    <xf numFmtId="0" fontId="2" fillId="0" borderId="6" xfId="0" applyFont="1" applyBorder="1"/>
    <xf numFmtId="3" fontId="33" fillId="10" borderId="1" xfId="0" applyNumberFormat="1" applyFont="1" applyFill="1" applyBorder="1" applyAlignment="1">
      <alignment vertical="center" wrapText="1"/>
    </xf>
    <xf numFmtId="0" fontId="35" fillId="8" borderId="1" xfId="0" applyFont="1" applyFill="1" applyBorder="1" applyAlignment="1">
      <alignment horizontal="left" vertical="center" wrapText="1"/>
    </xf>
    <xf numFmtId="3" fontId="2" fillId="0" borderId="1" xfId="0" applyNumberFormat="1" applyFont="1" applyBorder="1" applyAlignment="1">
      <alignment vertical="center"/>
    </xf>
    <xf numFmtId="176" fontId="8" fillId="2" borderId="1" xfId="0" applyNumberFormat="1" applyFont="1" applyFill="1" applyBorder="1"/>
    <xf numFmtId="0" fontId="32" fillId="0" borderId="1" xfId="2" applyFont="1" applyBorder="1" applyAlignment="1">
      <alignment vertical="center"/>
    </xf>
    <xf numFmtId="0" fontId="2" fillId="0" borderId="24" xfId="0" applyFont="1" applyBorder="1" applyAlignment="1">
      <alignment horizontal="left" vertical="center"/>
    </xf>
    <xf numFmtId="0" fontId="2" fillId="0" borderId="26" xfId="0" applyFont="1" applyBorder="1" applyAlignment="1">
      <alignment vertical="center"/>
    </xf>
    <xf numFmtId="174" fontId="2" fillId="10" borderId="27" xfId="0" applyNumberFormat="1" applyFont="1" applyFill="1" applyBorder="1" applyAlignment="1">
      <alignment horizontal="right" vertical="center"/>
    </xf>
    <xf numFmtId="177" fontId="2" fillId="0" borderId="8" xfId="0" applyNumberFormat="1" applyFont="1" applyBorder="1" applyAlignment="1">
      <alignment horizontal="right" vertical="center"/>
    </xf>
    <xf numFmtId="174" fontId="2" fillId="0" borderId="23" xfId="0" applyNumberFormat="1" applyFont="1" applyBorder="1" applyAlignment="1">
      <alignment horizontal="right" vertical="center"/>
    </xf>
    <xf numFmtId="177" fontId="6" fillId="11" borderId="8" xfId="0" applyNumberFormat="1" applyFont="1" applyFill="1" applyBorder="1" applyAlignment="1">
      <alignment horizontal="right" vertical="center"/>
    </xf>
    <xf numFmtId="0" fontId="5" fillId="8" borderId="1" xfId="4" applyFont="1" applyFill="1" applyBorder="1" applyAlignment="1">
      <alignment horizontal="right" wrapText="1"/>
    </xf>
    <xf numFmtId="175" fontId="2" fillId="0" borderId="1" xfId="0" applyNumberFormat="1" applyFont="1" applyBorder="1" applyAlignment="1">
      <alignment horizontal="right"/>
    </xf>
    <xf numFmtId="0" fontId="21" fillId="4" borderId="1" xfId="5" applyFont="1" applyFill="1" applyBorder="1" applyAlignment="1">
      <alignment horizontal="center" vertical="center" wrapText="1"/>
    </xf>
    <xf numFmtId="0" fontId="21" fillId="4" borderId="1" xfId="5" applyFont="1" applyFill="1" applyBorder="1" applyAlignment="1">
      <alignment horizontal="center" vertical="center"/>
    </xf>
    <xf numFmtId="173" fontId="2" fillId="12" borderId="27" xfId="0" applyNumberFormat="1" applyFont="1" applyFill="1" applyBorder="1" applyAlignment="1">
      <alignment horizontal="right" vertical="center"/>
    </xf>
    <xf numFmtId="167" fontId="2" fillId="10" borderId="27" xfId="0" applyNumberFormat="1" applyFont="1" applyFill="1" applyBorder="1" applyAlignment="1">
      <alignment horizontal="right" vertical="center"/>
    </xf>
    <xf numFmtId="9" fontId="2" fillId="12" borderId="27" xfId="3" applyFont="1" applyFill="1" applyBorder="1" applyAlignment="1">
      <alignment horizontal="right" vertical="center"/>
    </xf>
    <xf numFmtId="0" fontId="23" fillId="0" borderId="24" xfId="0" applyFont="1" applyBorder="1" applyAlignment="1">
      <alignment horizontal="left" vertical="center" wrapText="1"/>
    </xf>
    <xf numFmtId="0" fontId="8" fillId="0" borderId="0" xfId="0" applyFont="1" applyAlignment="1">
      <alignment vertical="center"/>
    </xf>
    <xf numFmtId="167" fontId="36" fillId="0" borderId="0" xfId="0" applyNumberFormat="1" applyFont="1" applyAlignment="1">
      <alignment vertical="center"/>
    </xf>
    <xf numFmtId="0" fontId="2" fillId="0" borderId="1" xfId="0" applyFont="1" applyBorder="1" applyAlignment="1">
      <alignment horizontal="right" vertical="center" wrapText="1"/>
    </xf>
    <xf numFmtId="167" fontId="2" fillId="0" borderId="28" xfId="0" applyNumberFormat="1" applyFont="1" applyBorder="1" applyAlignment="1">
      <alignment horizontal="left" vertical="center"/>
    </xf>
    <xf numFmtId="0" fontId="6" fillId="0" borderId="28" xfId="0" applyFont="1" applyBorder="1" applyAlignment="1">
      <alignment horizontal="left" vertical="center" wrapText="1"/>
    </xf>
    <xf numFmtId="0" fontId="2" fillId="8" borderId="28" xfId="0" applyFont="1" applyFill="1" applyBorder="1" applyAlignment="1">
      <alignment vertical="center" wrapText="1"/>
    </xf>
    <xf numFmtId="173" fontId="40" fillId="0" borderId="1" xfId="0" applyNumberFormat="1" applyFont="1" applyBorder="1" applyAlignment="1">
      <alignment vertical="center"/>
    </xf>
    <xf numFmtId="3" fontId="33" fillId="3" borderId="1" xfId="0" applyNumberFormat="1" applyFont="1" applyFill="1" applyBorder="1" applyAlignment="1">
      <alignment vertical="center" wrapText="1"/>
    </xf>
    <xf numFmtId="3" fontId="2" fillId="10" borderId="1" xfId="0" applyNumberFormat="1" applyFont="1" applyFill="1" applyBorder="1" applyAlignment="1">
      <alignment vertical="center"/>
    </xf>
    <xf numFmtId="170" fontId="15" fillId="3" borderId="7" xfId="5" applyNumberFormat="1" applyFont="1" applyFill="1" applyBorder="1" applyAlignment="1">
      <alignment horizontal="center"/>
    </xf>
    <xf numFmtId="0" fontId="14" fillId="0" borderId="0" xfId="5" applyFont="1" applyAlignment="1">
      <alignment horizontal="left"/>
    </xf>
    <xf numFmtId="0" fontId="15" fillId="0" borderId="0" xfId="5" applyFont="1"/>
    <xf numFmtId="170" fontId="15" fillId="0" borderId="0" xfId="5" applyNumberFormat="1" applyFont="1" applyAlignment="1">
      <alignment horizontal="center"/>
    </xf>
    <xf numFmtId="0" fontId="18" fillId="3" borderId="4" xfId="5" applyFont="1" applyFill="1" applyBorder="1" applyAlignment="1">
      <alignment horizontal="left"/>
    </xf>
    <xf numFmtId="0" fontId="18" fillId="3" borderId="0" xfId="5" applyFont="1" applyFill="1" applyAlignment="1">
      <alignment horizontal="left"/>
    </xf>
    <xf numFmtId="0" fontId="23" fillId="0" borderId="0" xfId="0" applyFont="1" applyAlignment="1">
      <alignment horizontal="left" vertical="center" wrapText="1"/>
    </xf>
    <xf numFmtId="9" fontId="34" fillId="0" borderId="0" xfId="5" applyNumberFormat="1" applyFont="1"/>
    <xf numFmtId="0" fontId="9" fillId="0" borderId="0" xfId="0" applyFont="1"/>
    <xf numFmtId="0" fontId="19" fillId="0" borderId="0" xfId="0" applyFont="1"/>
    <xf numFmtId="174" fontId="0" fillId="0" borderId="0" xfId="0" applyNumberFormat="1"/>
    <xf numFmtId="0" fontId="0" fillId="0" borderId="4" xfId="0" applyBorder="1" applyAlignment="1">
      <alignment vertical="center"/>
    </xf>
    <xf numFmtId="0" fontId="2" fillId="0" borderId="0" xfId="0" applyFont="1" applyAlignment="1">
      <alignment horizontal="left"/>
    </xf>
    <xf numFmtId="3" fontId="2" fillId="0" borderId="0" xfId="0" applyNumberFormat="1" applyFont="1"/>
    <xf numFmtId="0" fontId="37" fillId="0" borderId="4" xfId="0" applyFont="1" applyBorder="1"/>
    <xf numFmtId="0" fontId="29" fillId="0" borderId="0" xfId="0" applyFont="1" applyAlignment="1">
      <alignment horizontal="left" vertical="center" wrapText="1"/>
    </xf>
    <xf numFmtId="0" fontId="6" fillId="0" borderId="0" xfId="0" applyFont="1" applyAlignment="1">
      <alignment horizontal="left"/>
    </xf>
    <xf numFmtId="0" fontId="22" fillId="0" borderId="0" xfId="0" applyFont="1" applyAlignment="1">
      <alignment horizontal="left" vertical="center" wrapText="1"/>
    </xf>
    <xf numFmtId="0" fontId="32" fillId="0" borderId="0" xfId="2" applyFont="1" applyBorder="1" applyAlignment="1">
      <alignment horizontal="left" vertical="center"/>
    </xf>
    <xf numFmtId="2" fontId="2" fillId="0" borderId="0" xfId="0" applyNumberFormat="1" applyFont="1" applyAlignment="1">
      <alignment horizontal="left"/>
    </xf>
    <xf numFmtId="0" fontId="0" fillId="3" borderId="18" xfId="0" applyFill="1" applyBorder="1"/>
    <xf numFmtId="0" fontId="0" fillId="3" borderId="19" xfId="0" applyFill="1" applyBorder="1"/>
    <xf numFmtId="0" fontId="47" fillId="4" borderId="1" xfId="0" applyFont="1" applyFill="1" applyBorder="1" applyAlignment="1">
      <alignment horizontal="center"/>
    </xf>
    <xf numFmtId="0" fontId="6" fillId="4" borderId="1" xfId="0" applyFont="1" applyFill="1" applyBorder="1" applyAlignment="1">
      <alignment horizontal="center"/>
    </xf>
    <xf numFmtId="0" fontId="48" fillId="0" borderId="1" xfId="0" applyFont="1" applyBorder="1"/>
    <xf numFmtId="0" fontId="0" fillId="0" borderId="18" xfId="0" applyBorder="1"/>
    <xf numFmtId="0" fontId="2" fillId="0" borderId="26" xfId="0" applyFont="1" applyBorder="1"/>
    <xf numFmtId="167" fontId="31" fillId="0" borderId="0" xfId="0" applyNumberFormat="1" applyFont="1"/>
    <xf numFmtId="167" fontId="0" fillId="0" borderId="0" xfId="0" applyNumberFormat="1"/>
    <xf numFmtId="167" fontId="0" fillId="8" borderId="0" xfId="0" applyNumberFormat="1" applyFill="1"/>
    <xf numFmtId="167" fontId="6" fillId="11" borderId="0" xfId="0" applyNumberFormat="1" applyFont="1" applyFill="1"/>
    <xf numFmtId="0" fontId="2" fillId="0" borderId="0" xfId="0" applyFont="1" applyAlignment="1">
      <alignment vertical="center" textRotation="90" wrapText="1"/>
    </xf>
    <xf numFmtId="167" fontId="0" fillId="10" borderId="0" xfId="0" applyNumberFormat="1" applyFill="1"/>
    <xf numFmtId="167" fontId="20" fillId="11" borderId="0" xfId="0" applyNumberFormat="1" applyFont="1" applyFill="1"/>
    <xf numFmtId="0" fontId="47" fillId="4" borderId="2" xfId="0" applyFont="1" applyFill="1" applyBorder="1" applyAlignment="1">
      <alignment horizontal="center"/>
    </xf>
    <xf numFmtId="9" fontId="5" fillId="3" borderId="1" xfId="0" applyNumberFormat="1" applyFont="1" applyFill="1" applyBorder="1" applyAlignment="1">
      <alignment horizontal="left"/>
    </xf>
    <xf numFmtId="174" fontId="2" fillId="10" borderId="1" xfId="0" applyNumberFormat="1" applyFont="1" applyFill="1" applyBorder="1" applyAlignment="1">
      <alignment horizontal="left" vertical="center"/>
    </xf>
    <xf numFmtId="167" fontId="2" fillId="10" borderId="1" xfId="0" applyNumberFormat="1" applyFont="1" applyFill="1" applyBorder="1" applyAlignment="1">
      <alignment horizontal="left" vertical="center"/>
    </xf>
    <xf numFmtId="0" fontId="46" fillId="3" borderId="18" xfId="5" applyFont="1" applyFill="1" applyBorder="1" applyAlignment="1">
      <alignment horizontal="left"/>
    </xf>
    <xf numFmtId="0" fontId="45" fillId="3" borderId="0" xfId="0" applyFont="1" applyFill="1"/>
    <xf numFmtId="0" fontId="36" fillId="0" borderId="1" xfId="0" applyFont="1" applyBorder="1" applyAlignment="1">
      <alignment vertical="center"/>
    </xf>
    <xf numFmtId="167" fontId="36" fillId="8" borderId="1" xfId="0" applyNumberFormat="1" applyFont="1" applyFill="1" applyBorder="1" applyAlignment="1">
      <alignment vertical="center" wrapText="1"/>
    </xf>
    <xf numFmtId="0" fontId="49" fillId="0" borderId="0" xfId="0" applyFont="1"/>
    <xf numFmtId="0" fontId="0" fillId="8" borderId="8" xfId="0" applyFill="1" applyBorder="1" applyAlignment="1">
      <alignment horizontal="left"/>
    </xf>
    <xf numFmtId="0" fontId="2" fillId="8" borderId="1" xfId="0" applyFont="1" applyFill="1" applyBorder="1" applyAlignment="1">
      <alignment horizontal="left" vertical="center" wrapText="1"/>
    </xf>
    <xf numFmtId="0" fontId="25" fillId="9" borderId="29" xfId="0" applyFont="1" applyFill="1" applyBorder="1" applyAlignment="1">
      <alignment horizontal="left" vertical="center"/>
    </xf>
    <xf numFmtId="0" fontId="25" fillId="9" borderId="30" xfId="0" applyFont="1" applyFill="1" applyBorder="1" applyAlignment="1">
      <alignment horizontal="left" vertical="center"/>
    </xf>
    <xf numFmtId="0" fontId="6" fillId="8" borderId="9" xfId="0" applyFont="1" applyFill="1" applyBorder="1" applyAlignment="1">
      <alignment horizontal="left" vertical="center"/>
    </xf>
    <xf numFmtId="0" fontId="6" fillId="8" borderId="15" xfId="0" applyFont="1" applyFill="1" applyBorder="1" applyAlignment="1">
      <alignment horizontal="left" vertical="center"/>
    </xf>
    <xf numFmtId="0" fontId="36" fillId="4" borderId="2" xfId="0" applyFont="1" applyFill="1" applyBorder="1" applyAlignment="1">
      <alignment horizontal="left" vertical="center" wrapText="1"/>
    </xf>
    <xf numFmtId="0" fontId="36" fillId="4" borderId="3" xfId="0" applyFont="1" applyFill="1" applyBorder="1" applyAlignment="1">
      <alignment horizontal="left" vertical="center" wrapText="1"/>
    </xf>
    <xf numFmtId="0" fontId="4" fillId="0" borderId="0" xfId="0" applyFont="1" applyAlignment="1">
      <alignment horizontal="left"/>
    </xf>
    <xf numFmtId="0" fontId="42" fillId="8" borderId="0" xfId="4" applyFont="1" applyFill="1" applyBorder="1" applyAlignment="1">
      <alignment horizontal="center" vertical="center"/>
    </xf>
    <xf numFmtId="0" fontId="43" fillId="3" borderId="0" xfId="4" applyFont="1" applyFill="1" applyBorder="1" applyAlignment="1">
      <alignment horizontal="center" vertical="center"/>
    </xf>
    <xf numFmtId="167" fontId="44" fillId="10" borderId="0" xfId="0" quotePrefix="1" applyNumberFormat="1" applyFont="1" applyFill="1" applyAlignment="1">
      <alignment horizontal="center" vertical="center"/>
    </xf>
    <xf numFmtId="176" fontId="8" fillId="2" borderId="24" xfId="0" applyNumberFormat="1" applyFont="1" applyFill="1" applyBorder="1" applyAlignment="1">
      <alignment horizontal="left"/>
    </xf>
    <xf numFmtId="176" fontId="8" fillId="2" borderId="26" xfId="0" applyNumberFormat="1" applyFont="1" applyFill="1" applyBorder="1" applyAlignment="1">
      <alignment horizontal="left"/>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xf numFmtId="0" fontId="30"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right" vertical="center" textRotation="90" wrapText="1"/>
    </xf>
    <xf numFmtId="0" fontId="2" fillId="0" borderId="0" xfId="0" applyFont="1" applyAlignment="1">
      <alignment horizontal="center"/>
    </xf>
  </cellXfs>
  <cellStyles count="6">
    <cellStyle name="Eingabe" xfId="4" builtinId="20"/>
    <cellStyle name="Hyperlink" xfId="2" xr:uid="{00000000-000B-0000-0000-000008000000}"/>
    <cellStyle name="Komma" xfId="1" builtinId="3"/>
    <cellStyle name="Normal 3" xfId="5" xr:uid="{791409E8-066B-4291-8126-D4874143ECBF}"/>
    <cellStyle name="Prozent" xfId="3" builtinId="5"/>
    <cellStyle name="Standard" xfId="0" builtinId="0"/>
  </cellStyles>
  <dxfs count="13">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DCA591"/>
      <color rgb="FFF0D7AA"/>
      <color rgb="FFCDD2B4"/>
      <color rgb="FF8CA0C3"/>
      <color rgb="FFC8AFBE"/>
      <color rgb="FFBED2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7410342539731522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D354-450D-9F8A-526441EE907B}"/>
              </c:ext>
            </c:extLst>
          </c:dPt>
          <c:dPt>
            <c:idx val="1"/>
            <c:invertIfNegative val="0"/>
            <c:bubble3D val="0"/>
            <c:spPr>
              <a:solidFill>
                <a:srgbClr val="DCA591"/>
              </a:solidFill>
              <a:ln>
                <a:noFill/>
              </a:ln>
              <a:effectLst/>
            </c:spPr>
            <c:extLst>
              <c:ext xmlns:c16="http://schemas.microsoft.com/office/drawing/2014/chart" uri="{C3380CC4-5D6E-409C-BE32-E72D297353CC}">
                <c16:uniqueId val="{00000003-D354-450D-9F8A-526441EE907B}"/>
              </c:ext>
            </c:extLst>
          </c:dPt>
          <c:dPt>
            <c:idx val="2"/>
            <c:invertIfNegative val="0"/>
            <c:bubble3D val="0"/>
            <c:spPr>
              <a:solidFill>
                <a:srgbClr val="8CA0C3"/>
              </a:solidFill>
              <a:ln>
                <a:noFill/>
              </a:ln>
              <a:effectLst/>
            </c:spPr>
            <c:extLst>
              <c:ext xmlns:c16="http://schemas.microsoft.com/office/drawing/2014/chart" uri="{C3380CC4-5D6E-409C-BE32-E72D297353CC}">
                <c16:uniqueId val="{00000005-D354-450D-9F8A-526441EE907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Summary!$F$49:$F$51</c:f>
              <c:strCache>
                <c:ptCount val="3"/>
                <c:pt idx="0">
                  <c:v>Present Value (in 2021 EUR)</c:v>
                </c:pt>
                <c:pt idx="1">
                  <c:v>Project Costs discounted (in 2021 EUR)</c:v>
                </c:pt>
                <c:pt idx="2">
                  <c:v>Net Present Value (in 2021 EUR)</c:v>
                </c:pt>
              </c:strCache>
            </c:strRef>
          </c:cat>
          <c:val>
            <c:numRef>
              <c:f>Summary!$G$49:$G$51</c:f>
              <c:numCache>
                <c:formatCode>#,##0\ "€"</c:formatCode>
                <c:ptCount val="3"/>
                <c:pt idx="0">
                  <c:v>5403968.1074861009</c:v>
                </c:pt>
                <c:pt idx="1">
                  <c:v>2457499.6459841346</c:v>
                </c:pt>
                <c:pt idx="2">
                  <c:v>2946468.4615019662</c:v>
                </c:pt>
              </c:numCache>
            </c:numRef>
          </c:val>
          <c:extLst>
            <c:ext xmlns:c16="http://schemas.microsoft.com/office/drawing/2014/chart" uri="{C3380CC4-5D6E-409C-BE32-E72D297353CC}">
              <c16:uniqueId val="{0000000A-D354-450D-9F8A-526441EE907B}"/>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B241-4E89-8F40-FA5F9E39D2AF}"/>
              </c:ext>
            </c:extLst>
          </c:dPt>
          <c:dPt>
            <c:idx val="1"/>
            <c:invertIfNegative val="0"/>
            <c:bubble3D val="0"/>
            <c:spPr>
              <a:solidFill>
                <a:srgbClr val="DCA591"/>
              </a:solidFill>
              <a:ln>
                <a:noFill/>
              </a:ln>
              <a:effectLst/>
            </c:spPr>
            <c:extLst>
              <c:ext xmlns:c16="http://schemas.microsoft.com/office/drawing/2014/chart" uri="{C3380CC4-5D6E-409C-BE32-E72D297353CC}">
                <c16:uniqueId val="{00000003-B241-4E89-8F40-FA5F9E39D2AF}"/>
              </c:ext>
            </c:extLst>
          </c:dPt>
          <c:dPt>
            <c:idx val="2"/>
            <c:invertIfNegative val="0"/>
            <c:bubble3D val="0"/>
            <c:spPr>
              <a:solidFill>
                <a:srgbClr val="8CA0C3"/>
              </a:solidFill>
              <a:ln>
                <a:noFill/>
              </a:ln>
              <a:effectLst/>
            </c:spPr>
            <c:extLst>
              <c:ext xmlns:c16="http://schemas.microsoft.com/office/drawing/2014/chart" uri="{C3380CC4-5D6E-409C-BE32-E72D297353CC}">
                <c16:uniqueId val="{00000005-D703-41CC-8A9D-FDE72B59B9C0}"/>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Summary!$B$49:$B$51</c:f>
              <c:strCache>
                <c:ptCount val="3"/>
                <c:pt idx="0">
                  <c:v>PV per HH</c:v>
                </c:pt>
                <c:pt idx="1">
                  <c:v>Costs per HH</c:v>
                </c:pt>
                <c:pt idx="2">
                  <c:v>NPV per HH</c:v>
                </c:pt>
              </c:strCache>
            </c:strRef>
          </c:cat>
          <c:val>
            <c:numRef>
              <c:f>Summary!$C$49:$C$51</c:f>
              <c:numCache>
                <c:formatCode>_-* #,##0\ [$€-407]_-;\-* #,##0\ [$€-407]_-;_-* "-"\ [$€-407]_-;_-@_-</c:formatCode>
                <c:ptCount val="3"/>
                <c:pt idx="0">
                  <c:v>667.15655647976553</c:v>
                </c:pt>
                <c:pt idx="1">
                  <c:v>303.3950180227327</c:v>
                </c:pt>
                <c:pt idx="2" formatCode="&quot;€&quot;#,##0_);\(&quot;€&quot;#,##0\)">
                  <c:v>363.76153845703283</c:v>
                </c:pt>
              </c:numCache>
            </c:numRef>
          </c:val>
          <c:extLst>
            <c:ext xmlns:c16="http://schemas.microsoft.com/office/drawing/2014/chart" uri="{C3380CC4-5D6E-409C-BE32-E72D297353CC}">
              <c16:uniqueId val="{00000008-B241-4E89-8F40-FA5F9E39D2AF}"/>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181074</xdr:colOff>
      <xdr:row>44</xdr:row>
      <xdr:rowOff>50288</xdr:rowOff>
    </xdr:from>
    <xdr:to>
      <xdr:col>10</xdr:col>
      <xdr:colOff>384915</xdr:colOff>
      <xdr:row>64</xdr:row>
      <xdr:rowOff>108857</xdr:rowOff>
    </xdr:to>
    <xdr:graphicFrame macro="">
      <xdr:nvGraphicFramePr>
        <xdr:cNvPr id="3" name="Chart 5">
          <a:extLst>
            <a:ext uri="{FF2B5EF4-FFF2-40B4-BE49-F238E27FC236}">
              <a16:creationId xmlns:a16="http://schemas.microsoft.com/office/drawing/2014/main" id="{0C4EE8FD-6C70-4A86-9DC3-759C046C1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158541</xdr:colOff>
      <xdr:row>5</xdr:row>
      <xdr:rowOff>10933</xdr:rowOff>
    </xdr:from>
    <xdr:to>
      <xdr:col>11</xdr:col>
      <xdr:colOff>179001</xdr:colOff>
      <xdr:row>15</xdr:row>
      <xdr:rowOff>66675</xdr:rowOff>
    </xdr:to>
    <xdr:sp macro="" textlink="">
      <xdr:nvSpPr>
        <xdr:cNvPr id="4" name="TextBox 2">
          <a:extLst>
            <a:ext uri="{FF2B5EF4-FFF2-40B4-BE49-F238E27FC236}">
              <a16:creationId xmlns:a16="http://schemas.microsoft.com/office/drawing/2014/main" id="{579F6D4E-D274-4D06-9178-183C09486486}"/>
            </a:ext>
          </a:extLst>
        </xdr:cNvPr>
        <xdr:cNvSpPr txBox="1"/>
      </xdr:nvSpPr>
      <xdr:spPr>
        <a:xfrm>
          <a:off x="7788066" y="1430158"/>
          <a:ext cx="5440185" cy="2922767"/>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strike="noStrike" baseline="0">
              <a:solidFill>
                <a:schemeClr val="dk1"/>
              </a:solidFill>
              <a:latin typeface="Pero" panose="020F0506020203030304" pitchFamily="34" charset="0"/>
              <a:ea typeface="+mn-ea"/>
              <a:cs typeface="+mn-cs"/>
            </a:rPr>
            <a:t>HWG Summary/Interpretation: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SROI forecast model is based on previous evaluation data </a:t>
          </a:r>
          <a:r>
            <a:rPr lang="en-US" sz="1100" b="0" i="0" baseline="0">
              <a:solidFill>
                <a:schemeClr val="dk1"/>
              </a:solidFill>
              <a:effectLst/>
              <a:latin typeface="Pero" panose="020F0506020203030304" pitchFamily="34" charset="0"/>
              <a:ea typeface="+mn-ea"/>
              <a:cs typeface="+mn-cs"/>
            </a:rPr>
            <a:t>data from Village Enterprise RCTs</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 It estimates</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 total benefits of ca. 4,6 Mio € and compares them to the implementation costs of ca. 2,45 Mio €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(values are discounted and deflated to real 2021 €).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preliminary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SROI result of 2,2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shows that under the current assumptions, income effects achieved by the project will outperform the project investment after 3 years.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estimated income impacts are based on an RCT conducted in Uganda and Kenya in 2021 that found a 7%  increase in consumption for Village Enterprise poverty graduation participants vs. control, as well as annual consumption data collected in Jimma region in 2023 as part of the Baseline data collection for a rigorous impact evaluation of another program financed by HWG.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A recent RCT of VE's graduation program in Uganda in 2026 showed a relative income increase of 17% which would result in a signficiantly higher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SROI of 5,3</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sensitivity analysis shows that the program will likely break even: even under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conservative assumptions, the SROI stays mostly above 1. However, due to the high costs per participating households there is a risk of no break-even under the most conservative assumptions.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Under a more optimistic scenario substantiated by recent studies, the SROI could increase substantially to above 5. </a:t>
          </a:r>
        </a:p>
      </xdr:txBody>
    </xdr:sp>
    <xdr:clientData/>
  </xdr:twoCellAnchor>
  <xdr:twoCellAnchor>
    <xdr:from>
      <xdr:col>0</xdr:col>
      <xdr:colOff>277631</xdr:colOff>
      <xdr:row>44</xdr:row>
      <xdr:rowOff>38370</xdr:rowOff>
    </xdr:from>
    <xdr:to>
      <xdr:col>3</xdr:col>
      <xdr:colOff>27926</xdr:colOff>
      <xdr:row>64</xdr:row>
      <xdr:rowOff>29812</xdr:rowOff>
    </xdr:to>
    <xdr:graphicFrame macro="">
      <xdr:nvGraphicFramePr>
        <xdr:cNvPr id="2" name="Chart 7">
          <a:extLst>
            <a:ext uri="{FF2B5EF4-FFF2-40B4-BE49-F238E27FC236}">
              <a16:creationId xmlns:a16="http://schemas.microsoft.com/office/drawing/2014/main" id="{0AD08FCC-103F-4882-A83B-DDFCD7116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228257</xdr:colOff>
      <xdr:row>18</xdr:row>
      <xdr:rowOff>226283</xdr:rowOff>
    </xdr:from>
    <xdr:to>
      <xdr:col>11</xdr:col>
      <xdr:colOff>87785</xdr:colOff>
      <xdr:row>26</xdr:row>
      <xdr:rowOff>125506</xdr:rowOff>
    </xdr:to>
    <xdr:sp macro="" textlink="">
      <xdr:nvSpPr>
        <xdr:cNvPr id="5" name="TextBox 2">
          <a:extLst>
            <a:ext uri="{FF2B5EF4-FFF2-40B4-BE49-F238E27FC236}">
              <a16:creationId xmlns:a16="http://schemas.microsoft.com/office/drawing/2014/main" id="{B4B51E26-3323-4ADD-94D6-04120F376EA1}"/>
            </a:ext>
          </a:extLst>
        </xdr:cNvPr>
        <xdr:cNvSpPr txBox="1"/>
      </xdr:nvSpPr>
      <xdr:spPr>
        <a:xfrm>
          <a:off x="6762407" y="5131658"/>
          <a:ext cx="6374628" cy="187089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i="0" u="none" strike="noStrike" baseline="0">
              <a:solidFill>
                <a:schemeClr val="dk1"/>
              </a:solidFill>
              <a:latin typeface="Pero" panose="020F0506020203030304" pitchFamily="34" charset="0"/>
              <a:ea typeface="+mn-ea"/>
              <a:cs typeface="+mn-cs"/>
            </a:rPr>
            <a:t>*Level of certainty:  Medium</a:t>
          </a:r>
          <a:endParaRPr lang="en-US" sz="1100" b="0" i="0" u="none" strike="noStrike" baseline="0">
            <a:solidFill>
              <a:schemeClr val="dk1"/>
            </a:solidFill>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Evidence strength</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Direct measurement of household consumption expenditure. </a:t>
          </a:r>
          <a:b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b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Rigorous experimental/quasi-experimental design with strong causal identification.</a:t>
          </a:r>
          <a:b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b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Impact estimates from households in East Africa with validated external validity.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Precision of impact estimates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Income estimates significant at 5% (p&lt;0.05) with narrow confidence intervals (i.e., CI width &lt; 31% of the point estimate).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Assumptions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Some substantiated assumptions (with some form of support based on available evidence or logical reasoning).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Sensitivity</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SROI values are moderately sensitive to key parameters. Reasonable variation in inputs leads to noticeable but not decision-changing shifts in ROI.</a:t>
          </a:r>
        </a:p>
      </xdr:txBody>
    </xdr:sp>
    <xdr:clientData/>
  </xdr:twoCellAnchor>
  <xdr:twoCellAnchor>
    <xdr:from>
      <xdr:col>3</xdr:col>
      <xdr:colOff>200798</xdr:colOff>
      <xdr:row>31</xdr:row>
      <xdr:rowOff>3520</xdr:rowOff>
    </xdr:from>
    <xdr:to>
      <xdr:col>11</xdr:col>
      <xdr:colOff>72081</xdr:colOff>
      <xdr:row>34</xdr:row>
      <xdr:rowOff>152571</xdr:rowOff>
    </xdr:to>
    <xdr:sp macro="" textlink="">
      <xdr:nvSpPr>
        <xdr:cNvPr id="6" name="TextBox 2">
          <a:extLst>
            <a:ext uri="{FF2B5EF4-FFF2-40B4-BE49-F238E27FC236}">
              <a16:creationId xmlns:a16="http://schemas.microsoft.com/office/drawing/2014/main" id="{99F267E8-38ED-405B-A8D5-74227518BE0C}"/>
            </a:ext>
          </a:extLst>
        </xdr:cNvPr>
        <xdr:cNvSpPr txBox="1"/>
      </xdr:nvSpPr>
      <xdr:spPr>
        <a:xfrm>
          <a:off x="6734948" y="8080720"/>
          <a:ext cx="6386383" cy="72055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i="0" u="none" strike="noStrike" baseline="0">
              <a:solidFill>
                <a:schemeClr val="dk1"/>
              </a:solidFill>
              <a:latin typeface="Pero" panose="020F0506020203030304" pitchFamily="34" charset="0"/>
              <a:ea typeface="+mn-ea"/>
              <a:cs typeface="+mn-cs"/>
            </a:rPr>
            <a:t>*Methodological rigor: Excellent</a:t>
          </a:r>
          <a:r>
            <a:rPr lang="en-US" sz="1100" b="0" i="0" u="none" strike="noStrike" baseline="0">
              <a:solidFill>
                <a:schemeClr val="dk1"/>
              </a:solidFill>
              <a:latin typeface="Pero" panose="020F0506020203030304" pitchFamily="34" charset="0"/>
              <a:ea typeface="+mn-ea"/>
              <a:cs typeface="+mn-cs"/>
            </a:rPr>
            <a:t>	</a:t>
          </a:r>
        </a:p>
        <a:p>
          <a:pPr algn="l"/>
          <a:r>
            <a:rPr lang="en-US" sz="1100" b="0" i="0" baseline="0">
              <a:solidFill>
                <a:schemeClr val="dk1"/>
              </a:solidFill>
              <a:effectLst/>
              <a:latin typeface="Pero" panose="020F0506020203030304" pitchFamily="34" charset="0"/>
              <a:ea typeface="+mn-ea"/>
              <a:cs typeface="+mn-cs"/>
            </a:rPr>
            <a:t>Rigorous design with well-documented, robust methods that effectively address potential biases and support strong causal inferences.</a:t>
          </a:r>
          <a:endParaRPr lang="en-US" sz="1100" b="0" i="0" u="none" strike="noStrike" baseline="0">
            <a:solidFill>
              <a:schemeClr val="dk1"/>
            </a:solidFill>
            <a:latin typeface="Pero" panose="020F0506020203030304" pitchFamily="34" charset="0"/>
            <a:ea typeface="+mn-ea"/>
            <a:cs typeface="+mn-cs"/>
          </a:endParaRPr>
        </a:p>
      </xdr:txBody>
    </xdr:sp>
    <xdr:clientData/>
  </xdr:twoCellAnchor>
  <xdr:twoCellAnchor editAs="oneCell">
    <xdr:from>
      <xdr:col>4</xdr:col>
      <xdr:colOff>117929</xdr:colOff>
      <xdr:row>0</xdr:row>
      <xdr:rowOff>78907</xdr:rowOff>
    </xdr:from>
    <xdr:to>
      <xdr:col>6</xdr:col>
      <xdr:colOff>332619</xdr:colOff>
      <xdr:row>2</xdr:row>
      <xdr:rowOff>217715</xdr:rowOff>
    </xdr:to>
    <xdr:pic>
      <xdr:nvPicPr>
        <xdr:cNvPr id="7" name="Picture 6">
          <a:extLst>
            <a:ext uri="{FF2B5EF4-FFF2-40B4-BE49-F238E27FC236}">
              <a16:creationId xmlns:a16="http://schemas.microsoft.com/office/drawing/2014/main" id="{1EADED60-7D44-1F0D-C3BB-B7D9F4A77620}"/>
            </a:ext>
          </a:extLst>
        </xdr:cNvPr>
        <xdr:cNvPicPr>
          <a:picLocks noChangeAspect="1"/>
        </xdr:cNvPicPr>
      </xdr:nvPicPr>
      <xdr:blipFill rotWithShape="1">
        <a:blip xmlns:r="http://schemas.openxmlformats.org/officeDocument/2006/relationships" r:embed="rId3"/>
        <a:srcRect t="12539" b="14690"/>
        <a:stretch>
          <a:fillRect/>
        </a:stretch>
      </xdr:blipFill>
      <xdr:spPr>
        <a:xfrm>
          <a:off x="7338786" y="78907"/>
          <a:ext cx="2633587" cy="752944"/>
        </a:xfrm>
        <a:prstGeom prst="rect">
          <a:avLst/>
        </a:prstGeom>
      </xdr:spPr>
    </xdr:pic>
    <xdr:clientData/>
  </xdr:twoCellAnchor>
  <xdr:twoCellAnchor editAs="oneCell">
    <xdr:from>
      <xdr:col>6</xdr:col>
      <xdr:colOff>457200</xdr:colOff>
      <xdr:row>0</xdr:row>
      <xdr:rowOff>182337</xdr:rowOff>
    </xdr:from>
    <xdr:to>
      <xdr:col>9</xdr:col>
      <xdr:colOff>54883</xdr:colOff>
      <xdr:row>2</xdr:row>
      <xdr:rowOff>130630</xdr:rowOff>
    </xdr:to>
    <xdr:pic>
      <xdr:nvPicPr>
        <xdr:cNvPr id="8" name="Picture 7">
          <a:extLst>
            <a:ext uri="{FF2B5EF4-FFF2-40B4-BE49-F238E27FC236}">
              <a16:creationId xmlns:a16="http://schemas.microsoft.com/office/drawing/2014/main" id="{34D6F093-4161-E94C-B0DA-B054D29A9786}"/>
            </a:ext>
          </a:extLst>
        </xdr:cNvPr>
        <xdr:cNvPicPr>
          <a:picLocks noChangeAspect="1"/>
        </xdr:cNvPicPr>
      </xdr:nvPicPr>
      <xdr:blipFill>
        <a:blip xmlns:r="http://schemas.openxmlformats.org/officeDocument/2006/relationships" r:embed="rId4"/>
        <a:stretch>
          <a:fillRect/>
        </a:stretch>
      </xdr:blipFill>
      <xdr:spPr>
        <a:xfrm>
          <a:off x="10100129" y="182337"/>
          <a:ext cx="1490437" cy="556079"/>
        </a:xfrm>
        <a:prstGeom prst="rect">
          <a:avLst/>
        </a:prstGeom>
      </xdr:spPr>
    </xdr:pic>
    <xdr:clientData/>
  </xdr:twoCellAnchor>
  <xdr:twoCellAnchor editAs="oneCell">
    <xdr:from>
      <xdr:col>9</xdr:col>
      <xdr:colOff>67129</xdr:colOff>
      <xdr:row>0</xdr:row>
      <xdr:rowOff>182336</xdr:rowOff>
    </xdr:from>
    <xdr:to>
      <xdr:col>10</xdr:col>
      <xdr:colOff>408565</xdr:colOff>
      <xdr:row>2</xdr:row>
      <xdr:rowOff>181881</xdr:rowOff>
    </xdr:to>
    <xdr:pic>
      <xdr:nvPicPr>
        <xdr:cNvPr id="9" name="Picture 8">
          <a:extLst>
            <a:ext uri="{FF2B5EF4-FFF2-40B4-BE49-F238E27FC236}">
              <a16:creationId xmlns:a16="http://schemas.microsoft.com/office/drawing/2014/main" id="{A20851BC-38D7-58DD-8248-796623B9FCAE}"/>
            </a:ext>
          </a:extLst>
        </xdr:cNvPr>
        <xdr:cNvPicPr>
          <a:picLocks noChangeAspect="1"/>
        </xdr:cNvPicPr>
      </xdr:nvPicPr>
      <xdr:blipFill>
        <a:blip xmlns:r="http://schemas.openxmlformats.org/officeDocument/2006/relationships" r:embed="rId5"/>
        <a:stretch>
          <a:fillRect/>
        </a:stretch>
      </xdr:blipFill>
      <xdr:spPr>
        <a:xfrm>
          <a:off x="11605986" y="182336"/>
          <a:ext cx="928357" cy="6009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230363</xdr:colOff>
      <xdr:row>2</xdr:row>
      <xdr:rowOff>85018</xdr:rowOff>
    </xdr:from>
    <xdr:to>
      <xdr:col>12</xdr:col>
      <xdr:colOff>159572</xdr:colOff>
      <xdr:row>24</xdr:row>
      <xdr:rowOff>65969</xdr:rowOff>
    </xdr:to>
    <xdr:pic>
      <xdr:nvPicPr>
        <xdr:cNvPr id="3" name="Picture 2">
          <a:extLst>
            <a:ext uri="{FF2B5EF4-FFF2-40B4-BE49-F238E27FC236}">
              <a16:creationId xmlns:a16="http://schemas.microsoft.com/office/drawing/2014/main" id="{ACFDE2A7-61A9-6821-E7C1-0A8FA85C8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363" y="520111"/>
          <a:ext cx="7408098" cy="4120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403601</xdr:colOff>
      <xdr:row>54</xdr:row>
      <xdr:rowOff>177584</xdr:rowOff>
    </xdr:from>
    <xdr:to>
      <xdr:col>16</xdr:col>
      <xdr:colOff>177584</xdr:colOff>
      <xdr:row>87</xdr:row>
      <xdr:rowOff>1324</xdr:rowOff>
    </xdr:to>
    <xdr:pic>
      <xdr:nvPicPr>
        <xdr:cNvPr id="2" name="Picture 1">
          <a:extLst>
            <a:ext uri="{FF2B5EF4-FFF2-40B4-BE49-F238E27FC236}">
              <a16:creationId xmlns:a16="http://schemas.microsoft.com/office/drawing/2014/main" id="{92375769-B107-1EE0-B1E3-969E5F35D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601" y="10784237"/>
          <a:ext cx="9847881" cy="6204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64577</xdr:colOff>
      <xdr:row>27</xdr:row>
      <xdr:rowOff>96866</xdr:rowOff>
    </xdr:from>
    <xdr:to>
      <xdr:col>16</xdr:col>
      <xdr:colOff>497366</xdr:colOff>
      <xdr:row>51</xdr:row>
      <xdr:rowOff>48433</xdr:rowOff>
    </xdr:to>
    <xdr:pic>
      <xdr:nvPicPr>
        <xdr:cNvPr id="5" name="Picture 4">
          <a:extLst>
            <a:ext uri="{FF2B5EF4-FFF2-40B4-BE49-F238E27FC236}">
              <a16:creationId xmlns:a16="http://schemas.microsoft.com/office/drawing/2014/main" id="{1E5F45A2-0914-FDA4-14A4-496105587D65}"/>
            </a:ext>
          </a:extLst>
        </xdr:cNvPr>
        <xdr:cNvPicPr>
          <a:picLocks noChangeAspect="1"/>
        </xdr:cNvPicPr>
      </xdr:nvPicPr>
      <xdr:blipFill>
        <a:blip xmlns:r="http://schemas.openxmlformats.org/officeDocument/2006/relationships" r:embed="rId3"/>
        <a:stretch>
          <a:fillRect/>
        </a:stretch>
      </xdr:blipFill>
      <xdr:spPr>
        <a:xfrm>
          <a:off x="64577" y="5424408"/>
          <a:ext cx="10506687" cy="460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146050</xdr:colOff>
      <xdr:row>19</xdr:row>
      <xdr:rowOff>120650</xdr:rowOff>
    </xdr:from>
    <xdr:to>
      <xdr:col>14</xdr:col>
      <xdr:colOff>342900</xdr:colOff>
      <xdr:row>24</xdr:row>
      <xdr:rowOff>149915</xdr:rowOff>
    </xdr:to>
    <xdr:sp macro="" textlink="">
      <xdr:nvSpPr>
        <xdr:cNvPr id="8" name="TextBox 2">
          <a:extLst>
            <a:ext uri="{FF2B5EF4-FFF2-40B4-BE49-F238E27FC236}">
              <a16:creationId xmlns:a16="http://schemas.microsoft.com/office/drawing/2014/main" id="{C190749D-A620-41BB-9C04-1FB8AE1920F0}"/>
            </a:ext>
          </a:extLst>
        </xdr:cNvPr>
        <xdr:cNvSpPr txBox="1"/>
      </xdr:nvSpPr>
      <xdr:spPr>
        <a:xfrm>
          <a:off x="146050" y="4435475"/>
          <a:ext cx="8197850" cy="98176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Fair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Good	Design is generally appropriate, with clear and justified sampling and analytical methods, though some limitations remain</a:t>
          </a:r>
        </a:p>
        <a:p>
          <a:r>
            <a:rPr lang="en-US" sz="1050" b="0" i="0" u="none" strike="noStrike" baseline="0">
              <a:solidFill>
                <a:schemeClr val="dk1"/>
              </a:solidFill>
              <a:latin typeface="Pero" panose="020F0506020203030304" pitchFamily="34" charset="0"/>
              <a:ea typeface="+mn-ea"/>
              <a:cs typeface="+mn-cs"/>
            </a:rPr>
            <a:t>Excellent	Rigorous design with well-documented, robust methods that effectively address potential biases and support strong causal 	inferences</a:t>
          </a:r>
          <a:r>
            <a:rPr lang="en-US" sz="1100" b="0" i="0" baseline="0">
              <a:solidFill>
                <a:schemeClr val="dk1"/>
              </a:solidFill>
              <a:effectLst/>
              <a:latin typeface="+mn-lt"/>
              <a:ea typeface="+mn-ea"/>
              <a:cs typeface="+mn-cs"/>
            </a:rPr>
            <a:t>.</a:t>
          </a:r>
          <a:endParaRPr lang="en-US" sz="1050">
            <a:effectLst/>
          </a:endParaRPr>
        </a:p>
      </xdr:txBody>
    </xdr:sp>
    <xdr:clientData/>
  </xdr:twoCellAnchor>
  <xdr:twoCellAnchor>
    <xdr:from>
      <xdr:col>0</xdr:col>
      <xdr:colOff>142875</xdr:colOff>
      <xdr:row>25</xdr:row>
      <xdr:rowOff>53975</xdr:rowOff>
    </xdr:from>
    <xdr:to>
      <xdr:col>14</xdr:col>
      <xdr:colOff>352425</xdr:colOff>
      <xdr:row>32</xdr:row>
      <xdr:rowOff>38100</xdr:rowOff>
    </xdr:to>
    <xdr:sp macro="" textlink="">
      <xdr:nvSpPr>
        <xdr:cNvPr id="4" name="TextBox 3">
          <a:extLst>
            <a:ext uri="{FF2B5EF4-FFF2-40B4-BE49-F238E27FC236}">
              <a16:creationId xmlns:a16="http://schemas.microsoft.com/office/drawing/2014/main" id="{0CD06DC2-115B-4C5E-A3DF-C35B54EA1502}"/>
            </a:ext>
          </a:extLst>
        </xdr:cNvPr>
        <xdr:cNvSpPr txBox="1"/>
      </xdr:nvSpPr>
      <xdr:spPr>
        <a:xfrm>
          <a:off x="142875" y="5511800"/>
          <a:ext cx="8210550" cy="1317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solidFill>
                <a:schemeClr val="dk1"/>
              </a:solidFill>
              <a:effectLst/>
              <a:latin typeface="Pero" panose="020F0506020203030304" pitchFamily="34" charset="0"/>
              <a:ea typeface="+mn-ea"/>
              <a:cs typeface="+mn-cs"/>
            </a:rPr>
            <a:t>*Discount</a:t>
          </a:r>
          <a:r>
            <a:rPr lang="en-US" sz="1000" b="1" baseline="0">
              <a:solidFill>
                <a:schemeClr val="dk1"/>
              </a:solidFill>
              <a:effectLst/>
              <a:latin typeface="Pero" panose="020F0506020203030304" pitchFamily="34" charset="0"/>
              <a:ea typeface="+mn-ea"/>
              <a:cs typeface="+mn-cs"/>
            </a:rPr>
            <a:t> rates</a:t>
          </a:r>
          <a:r>
            <a:rPr lang="en-US" sz="1000">
              <a:solidFill>
                <a:schemeClr val="dk1"/>
              </a:solidFill>
              <a:effectLst/>
              <a:latin typeface="Pero" panose="020F0506020203030304" pitchFamily="34" charset="0"/>
              <a:ea typeface="+mn-ea"/>
              <a:cs typeface="+mn-cs"/>
            </a:rPr>
            <a:t>:</a:t>
          </a:r>
          <a:r>
            <a:rPr lang="en-US" sz="1000" baseline="0">
              <a:solidFill>
                <a:schemeClr val="dk1"/>
              </a:solidFill>
              <a:effectLst/>
              <a:latin typeface="Pero" panose="020F0506020203030304" pitchFamily="34" charset="0"/>
              <a:ea typeface="+mn-ea"/>
              <a:cs typeface="+mn-cs"/>
            </a:rPr>
            <a:t> </a:t>
          </a:r>
          <a:r>
            <a:rPr lang="en-US" sz="100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0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00">
              <a:solidFill>
                <a:schemeClr val="dk1"/>
              </a:solidFill>
              <a:effectLst/>
              <a:latin typeface="Pero" panose="020F0506020203030304" pitchFamily="34" charset="0"/>
              <a:ea typeface="+mn-ea"/>
              <a:cs typeface="+mn-cs"/>
            </a:rPr>
            <a:t> </a:t>
          </a:r>
        </a:p>
      </xdr:txBody>
    </xdr:sp>
    <xdr:clientData/>
  </xdr:twoCellAnchor>
  <xdr:twoCellAnchor>
    <xdr:from>
      <xdr:col>0</xdr:col>
      <xdr:colOff>136524</xdr:colOff>
      <xdr:row>32</xdr:row>
      <xdr:rowOff>123827</xdr:rowOff>
    </xdr:from>
    <xdr:to>
      <xdr:col>14</xdr:col>
      <xdr:colOff>371475</xdr:colOff>
      <xdr:row>37</xdr:row>
      <xdr:rowOff>123825</xdr:rowOff>
    </xdr:to>
    <xdr:sp macro="" textlink="">
      <xdr:nvSpPr>
        <xdr:cNvPr id="6" name="TextBox 5">
          <a:extLst>
            <a:ext uri="{FF2B5EF4-FFF2-40B4-BE49-F238E27FC236}">
              <a16:creationId xmlns:a16="http://schemas.microsoft.com/office/drawing/2014/main" id="{AD2F7521-9663-4F9B-8FC0-F310257D73F2}"/>
            </a:ext>
          </a:extLst>
        </xdr:cNvPr>
        <xdr:cNvSpPr txBox="1"/>
      </xdr:nvSpPr>
      <xdr:spPr>
        <a:xfrm>
          <a:off x="136524" y="6915152"/>
          <a:ext cx="8235951" cy="95249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a:t>
          </a:r>
          <a:r>
            <a:rPr lang="en-US" sz="1050" b="1" baseline="0">
              <a:solidFill>
                <a:schemeClr val="dk1"/>
              </a:solidFill>
              <a:effectLst/>
              <a:latin typeface="Pero" panose="020F0506020203030304" pitchFamily="34" charset="0"/>
              <a:ea typeface="+mn-ea"/>
              <a:cs typeface="+mn-cs"/>
            </a:rPr>
            <a:t>: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We present cash flows in real values, deflating coffee prices and labor costs (for the calculation of profits from coffee) as well as project costs back to real value in base year 2025,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endParaRPr lang="en-US" sz="1050" b="0">
            <a:solidFill>
              <a:schemeClr val="dk1"/>
            </a:solidFill>
            <a:effectLst/>
            <a:latin typeface="Pero" panose="020F0506020203030304" pitchFamily="34" charset="0"/>
            <a:ea typeface="+mn-ea"/>
            <a:cs typeface="+mn-cs"/>
          </a:endParaRPr>
        </a:p>
      </xdr:txBody>
    </xdr:sp>
    <xdr:clientData/>
  </xdr:twoCellAnchor>
  <xdr:twoCellAnchor>
    <xdr:from>
      <xdr:col>0</xdr:col>
      <xdr:colOff>139700</xdr:colOff>
      <xdr:row>0</xdr:row>
      <xdr:rowOff>50801</xdr:rowOff>
    </xdr:from>
    <xdr:to>
      <xdr:col>14</xdr:col>
      <xdr:colOff>352425</xdr:colOff>
      <xdr:row>19</xdr:row>
      <xdr:rowOff>41414</xdr:rowOff>
    </xdr:to>
    <xdr:sp macro="" textlink="">
      <xdr:nvSpPr>
        <xdr:cNvPr id="2" name="TextBox 2">
          <a:extLst>
            <a:ext uri="{FF2B5EF4-FFF2-40B4-BE49-F238E27FC236}">
              <a16:creationId xmlns:a16="http://schemas.microsoft.com/office/drawing/2014/main" id="{4508D6B2-6733-44D3-84DA-DA3B0672C77A}"/>
            </a:ext>
          </a:extLst>
        </xdr:cNvPr>
        <xdr:cNvSpPr txBox="1"/>
      </xdr:nvSpPr>
      <xdr:spPr>
        <a:xfrm>
          <a:off x="139700" y="50801"/>
          <a:ext cx="8213725" cy="430585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pPr algn="l"/>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pPr algn="l"/>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pPr algn="l"/>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pPr algn="l"/>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pPr algn="l"/>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decision-changing shifts in ROI.</a:t>
          </a:r>
        </a:p>
        <a:p>
          <a:pPr algn="l"/>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pPr algn="l"/>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twoCellAnchor>
    <xdr:from>
      <xdr:col>0</xdr:col>
      <xdr:colOff>120650</xdr:colOff>
      <xdr:row>38</xdr:row>
      <xdr:rowOff>34926</xdr:rowOff>
    </xdr:from>
    <xdr:to>
      <xdr:col>14</xdr:col>
      <xdr:colOff>390526</xdr:colOff>
      <xdr:row>44</xdr:row>
      <xdr:rowOff>6350</xdr:rowOff>
    </xdr:to>
    <xdr:sp macro="" textlink="">
      <xdr:nvSpPr>
        <xdr:cNvPr id="5" name="TextBox 4">
          <a:extLst>
            <a:ext uri="{FF2B5EF4-FFF2-40B4-BE49-F238E27FC236}">
              <a16:creationId xmlns:a16="http://schemas.microsoft.com/office/drawing/2014/main" id="{807A0902-1B94-4FE3-90DF-E05EA7824329}"/>
            </a:ext>
          </a:extLst>
        </xdr:cNvPr>
        <xdr:cNvSpPr txBox="1"/>
      </xdr:nvSpPr>
      <xdr:spPr>
        <a:xfrm>
          <a:off x="120650" y="7969251"/>
          <a:ext cx="8270876" cy="111442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latin typeface="Pero" panose="020F0506020203030304" pitchFamily="34" charset="0"/>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a:t>
          </a:r>
          <a:endParaRPr lang="en-US" sz="1050" b="0">
            <a:solidFill>
              <a:schemeClr val="dk1"/>
            </a:solidFill>
            <a:effectLst/>
            <a:latin typeface="Pero" panose="020F0506020203030304" pitchFamily="34" charset="0"/>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Gutiérrez, Marlene" id="{7810DD17-EAB8-4E74-B203-3D719B35E93B}" userId="S::mgutierrez@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0" dT="2026-06-08T12:18:50.29" personId="{7810DD17-EAB8-4E74-B203-3D719B35E93B}" id="{2208349B-DCDF-4086-A757-D590633A80F2}">
    <text>Calculated at a 10% discount rate, with 8.100 HH reached, the budget being required to replicate implementation (excluding 14% indirect costs), 7% expected income increase, not considering assets and a baseline HH income of 135.525 ETB.</text>
  </threadedComment>
  <threadedComment ref="B27" dT="2026-06-08T12:03:34.86" personId="{7810DD17-EAB8-4E74-B203-3D719B35E93B}" id="{E8BE9177-AEE6-4FEF-823A-3099F3C35689}">
    <text>Assets not conisdered;  Expected income increase (proxied by consumption expenditure in Year 2) = 7%; Baseline Income 100.000 ETB</text>
  </threadedComment>
  <threadedComment ref="B28" dT="2026-06-08T12:04:14.18" personId="{7810DD17-EAB8-4E74-B203-3D719B35E93B}" id="{A3EF8E58-F222-458F-A509-03EE9A1AB850}">
    <text>135.000 ETB Baseline Income; 41$ asset increase; 17% expected income increase (proxied by consumption expenditure in Year 2)</text>
  </threadedComment>
</ThreadedComments>
</file>

<file path=xl/threadedComments/threadedComment2.xml><?xml version="1.0" encoding="utf-8"?>
<ThreadedComments xmlns="http://schemas.microsoft.com/office/spreadsheetml/2018/threadedcomments" xmlns:x="http://schemas.openxmlformats.org/spreadsheetml/2006/main">
  <threadedComment ref="C19" dT="2026-04-24T13:10:40.41" personId="{7810DD17-EAB8-4E74-B203-3D719B35E93B}" id="{74E0CAB8-ADCB-4351-AACC-39CB456EC69E}">
    <text>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ext>
  </threadedComment>
</ThreadedComments>
</file>

<file path=xl/threadedComments/threadedComment3.xml><?xml version="1.0" encoding="utf-8"?>
<ThreadedComments xmlns="http://schemas.microsoft.com/office/spreadsheetml/2018/threadedcomments" xmlns:x="http://schemas.openxmlformats.org/spreadsheetml/2006/main">
  <threadedComment ref="C21" dT="2026-02-04T15:29:20.47" personId="{7810DD17-EAB8-4E74-B203-3D719B35E93B}" id="{3D68DBEE-0070-4995-A874-5A4F2C567107}">
    <text>Includess 197.620,00 € Cofunding</text>
  </threadedComment>
  <threadedComment ref="C21" dT="2026-06-22T14:31:25.48" personId="{7810DD17-EAB8-4E74-B203-3D719B35E93B}" id="{AA7E2C05-CF9F-4A5C-8D2E-531D6B63FC82}" parentId="{3D68DBEE-0070-4995-A874-5A4F2C567107}">
    <text xml:space="preserve">Excludes 2.412€ Budget for Head of Research as this costs are irrrespective of implementation
</text>
  </threadedComment>
  <threadedComment ref="B40" dT="2026-06-23T12:39:23.74" personId="{7810DD17-EAB8-4E74-B203-3D719B35E93B}" id="{B522C1A3-6BD8-49FB-ADA4-5EAAE3C890CB}">
    <text xml:space="preserve"> 5 year horizon; 5% Discount Rate; including assets; non-implementation cost share 0%</text>
  </threadedComment>
</ThreadedComments>
</file>

<file path=xl/threadedComments/threadedComment4.xml><?xml version="1.0" encoding="utf-8"?>
<ThreadedComments xmlns="http://schemas.microsoft.com/office/spreadsheetml/2018/threadedcomments" xmlns:x="http://schemas.openxmlformats.org/spreadsheetml/2006/main">
  <threadedComment ref="C7" dT="2026-04-24T13:10:40.41" personId="{7810DD17-EAB8-4E74-B203-3D719B35E93B}" id="{B58282A2-D493-4B66-B3B2-BE18FA929E13}">
    <text>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ext>
  </threadedComment>
  <threadedComment ref="D7" dT="2026-04-24T13:10:40.41" personId="{7810DD17-EAB8-4E74-B203-3D719B35E93B}" id="{0BACF9AB-133B-4F1D-84B3-9DE11940374B}">
    <text>Baseline consumption estimate sourced from Digital Green project (2023), collected across 4 Woredas in Jimma Zone and deflated to real 2021 values. Applied as a proxy for this project's 3 Woredas in Keffa Zone. Note that Keffa differs from Jimma in agroecological profile and livelihood mix, which introduces additional uncertainty into this estimate. VE will collect consumption data from the learning cohort through their internal monitoring system. The RCT will include a consumption measure at endline 1 and endline 2.</text>
  </threadedComment>
  <threadedComment ref="F22" dT="2026-04-24T12:22:12.09" personId="{7810DD17-EAB8-4E74-B203-3D719B35E93B}" id="{23FEF1C5-264E-4F0C-B691-C05C20CC8FAF}">
    <text>The VEN01 Budget includes 14% indirect costs</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idinsight.org/wp-content/uploads/2026/06/DREAMS-Ethiopia-Endline-1-Report-1.pdf" TargetMode="External"/><Relationship Id="rId7" Type="http://schemas.openxmlformats.org/officeDocument/2006/relationships/comments" Target="../comments1.xml"/><Relationship Id="rId2" Type="http://schemas.openxmlformats.org/officeDocument/2006/relationships/hyperlink" Target="https://villageenterprise.org/what-we-do/development-impact-bond/" TargetMode="External"/><Relationship Id="rId1" Type="http://schemas.openxmlformats.org/officeDocument/2006/relationships/hyperlink" Target="https://poverty-action.or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mf.org/en/Publications/WEO/weo-database/2025/april/weo-report?c=644,&amp;s=NGDP_D,&amp;sy=2017&amp;ey=2030&amp;ssm=0&amp;scsm=1&amp;scc=0&amp;ssd=1&amp;ssc=0&amp;sic=0&amp;sort=country&amp;ds=.&amp;br=1" TargetMode="External"/><Relationship Id="rId1" Type="http://schemas.openxmlformats.org/officeDocument/2006/relationships/hyperlink" Target="https://www.exchange-rates.org/exchange-rate-history/etb-eur-2021"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D3F3-F596-485F-ACC5-D90C83F99006}">
  <dimension ref="A1:L66"/>
  <sheetViews>
    <sheetView showGridLines="0" tabSelected="1" zoomScale="67" zoomScaleNormal="115" workbookViewId="0">
      <selection activeCell="N17" sqref="N17"/>
    </sheetView>
  </sheetViews>
  <sheetFormatPr baseColWidth="10" defaultColWidth="8.54296875" defaultRowHeight="14.5" x14ac:dyDescent="0.35"/>
  <cols>
    <col min="1" max="1" width="4.453125" style="50" customWidth="1"/>
    <col min="2" max="2" width="35.54296875" style="50" customWidth="1"/>
    <col min="3" max="3" width="58" style="51" customWidth="1"/>
    <col min="4" max="4" width="16.453125" customWidth="1"/>
    <col min="5" max="5" width="19.453125" customWidth="1"/>
    <col min="6" max="6" width="16.54296875" customWidth="1"/>
    <col min="7" max="7" width="11" bestFit="1" customWidth="1"/>
    <col min="12" max="12" width="4.453125" customWidth="1"/>
  </cols>
  <sheetData>
    <row r="1" spans="1:12" ht="21.75" customHeight="1" x14ac:dyDescent="0.35">
      <c r="A1" s="13"/>
      <c r="B1" s="14"/>
      <c r="C1" s="15"/>
      <c r="D1" s="16"/>
      <c r="E1" s="16"/>
      <c r="F1" s="16"/>
      <c r="G1" s="16"/>
      <c r="H1" s="16"/>
      <c r="I1" s="16"/>
      <c r="J1" s="16"/>
      <c r="K1" s="16"/>
      <c r="L1" s="17"/>
    </row>
    <row r="2" spans="1:12" ht="25.5" customHeight="1" x14ac:dyDescent="0.4">
      <c r="A2" s="18"/>
      <c r="B2" s="19" t="s">
        <v>0</v>
      </c>
      <c r="C2" s="81" t="s">
        <v>1</v>
      </c>
      <c r="D2" s="20"/>
      <c r="E2" s="20"/>
      <c r="F2" s="20"/>
      <c r="G2" s="20"/>
      <c r="H2" s="20"/>
      <c r="I2" s="20"/>
      <c r="J2" s="20"/>
      <c r="K2" s="20"/>
      <c r="L2" s="21"/>
    </row>
    <row r="3" spans="1:12" ht="27" customHeight="1" x14ac:dyDescent="0.35">
      <c r="A3" s="22"/>
      <c r="B3" s="23"/>
      <c r="C3" s="24"/>
      <c r="D3" s="20"/>
      <c r="E3" s="20"/>
      <c r="F3" s="20"/>
      <c r="G3" s="20"/>
      <c r="H3" s="20"/>
      <c r="I3" s="20"/>
      <c r="J3" s="20"/>
      <c r="K3" s="20"/>
      <c r="L3" s="21"/>
    </row>
    <row r="4" spans="1:12" ht="18" x14ac:dyDescent="0.4">
      <c r="A4" s="25"/>
      <c r="B4" s="77" t="s">
        <v>2</v>
      </c>
      <c r="C4" s="26"/>
      <c r="D4" s="7"/>
      <c r="E4" s="27"/>
      <c r="F4" s="27"/>
      <c r="G4" s="27"/>
      <c r="H4" s="27"/>
      <c r="I4" s="28"/>
      <c r="J4" s="28"/>
      <c r="K4" s="28"/>
      <c r="L4" s="29"/>
    </row>
    <row r="5" spans="1:12" ht="18" x14ac:dyDescent="0.4">
      <c r="A5" s="30"/>
      <c r="B5" s="31"/>
      <c r="C5" s="32"/>
      <c r="D5" s="33"/>
      <c r="E5" s="34"/>
      <c r="F5" s="34"/>
      <c r="G5" s="34"/>
      <c r="H5" s="34"/>
      <c r="I5" s="20"/>
      <c r="J5" s="20"/>
      <c r="K5" s="20"/>
      <c r="L5" s="21"/>
    </row>
    <row r="6" spans="1:12" ht="29.5" x14ac:dyDescent="0.4">
      <c r="A6" s="30"/>
      <c r="B6" s="35" t="s">
        <v>3</v>
      </c>
      <c r="C6" s="66" t="s">
        <v>4</v>
      </c>
      <c r="D6" s="37"/>
      <c r="E6" s="34"/>
      <c r="F6" s="34"/>
      <c r="G6" s="34"/>
      <c r="H6" s="34"/>
      <c r="I6" s="20"/>
      <c r="J6" s="20"/>
      <c r="K6" s="20"/>
      <c r="L6" s="21"/>
    </row>
    <row r="7" spans="1:12" x14ac:dyDescent="0.35">
      <c r="A7" s="30"/>
      <c r="B7" s="38" t="s">
        <v>5</v>
      </c>
      <c r="C7" s="66" t="s">
        <v>6</v>
      </c>
      <c r="D7" s="39"/>
      <c r="E7" s="34"/>
      <c r="F7" s="34"/>
      <c r="G7" s="34"/>
      <c r="H7" s="34"/>
      <c r="I7" s="20"/>
      <c r="J7" s="20"/>
      <c r="K7" s="20"/>
      <c r="L7" s="21"/>
    </row>
    <row r="8" spans="1:12" x14ac:dyDescent="0.35">
      <c r="A8" s="30"/>
      <c r="B8" s="38" t="s">
        <v>7</v>
      </c>
      <c r="C8" s="89" t="s">
        <v>8</v>
      </c>
      <c r="D8" s="40"/>
      <c r="E8" s="34"/>
      <c r="F8" s="34"/>
      <c r="G8" s="34"/>
      <c r="H8" s="34"/>
      <c r="I8" s="20"/>
      <c r="J8" s="20"/>
      <c r="K8" s="20"/>
      <c r="L8" s="21"/>
    </row>
    <row r="9" spans="1:12" x14ac:dyDescent="0.35">
      <c r="A9" s="30"/>
      <c r="B9" s="38" t="s">
        <v>9</v>
      </c>
      <c r="C9" s="36" t="s">
        <v>10</v>
      </c>
      <c r="D9" s="39"/>
      <c r="E9" s="34"/>
      <c r="F9" s="34"/>
      <c r="G9" s="34"/>
      <c r="H9" s="34"/>
      <c r="I9" s="20"/>
      <c r="J9" s="20"/>
      <c r="K9" s="20"/>
      <c r="L9" s="21"/>
    </row>
    <row r="10" spans="1:12" x14ac:dyDescent="0.35">
      <c r="A10" s="30"/>
      <c r="B10" s="38" t="s">
        <v>11</v>
      </c>
      <c r="C10" s="67" t="s">
        <v>12</v>
      </c>
      <c r="D10" s="39"/>
      <c r="E10" s="34"/>
      <c r="F10" s="34"/>
      <c r="G10" s="34"/>
      <c r="H10" s="34"/>
      <c r="I10" s="20"/>
      <c r="J10" s="20"/>
      <c r="K10" s="20"/>
      <c r="L10" s="21"/>
    </row>
    <row r="11" spans="1:12" x14ac:dyDescent="0.35">
      <c r="A11" s="30"/>
      <c r="B11" s="38" t="s">
        <v>13</v>
      </c>
      <c r="C11" s="41" t="s">
        <v>14</v>
      </c>
      <c r="D11" s="39"/>
      <c r="E11" s="34"/>
      <c r="F11" s="34"/>
      <c r="G11" s="34"/>
      <c r="H11" s="34"/>
      <c r="I11" s="20"/>
      <c r="J11" s="20"/>
      <c r="K11" s="20"/>
      <c r="L11" s="21"/>
    </row>
    <row r="12" spans="1:12" ht="72.5" x14ac:dyDescent="0.35">
      <c r="A12" s="30"/>
      <c r="B12" s="38" t="s">
        <v>15</v>
      </c>
      <c r="C12" s="36" t="s">
        <v>16</v>
      </c>
      <c r="D12" s="39"/>
      <c r="E12" s="34"/>
      <c r="F12" s="34"/>
      <c r="G12" s="34"/>
      <c r="H12" s="34"/>
      <c r="I12" s="20"/>
      <c r="J12" s="20"/>
      <c r="K12" s="20"/>
      <c r="L12" s="21"/>
    </row>
    <row r="13" spans="1:12" x14ac:dyDescent="0.35">
      <c r="A13" s="30"/>
      <c r="B13" s="38" t="s">
        <v>17</v>
      </c>
      <c r="C13" s="42">
        <f>SUM(SROI!C21:G21)</f>
        <v>3195208</v>
      </c>
      <c r="D13" s="39"/>
      <c r="E13" s="34"/>
      <c r="F13" s="34"/>
      <c r="G13" s="34"/>
      <c r="H13" s="34"/>
      <c r="I13" s="20"/>
      <c r="J13" s="20"/>
      <c r="K13" s="20"/>
      <c r="L13" s="21"/>
    </row>
    <row r="14" spans="1:12" x14ac:dyDescent="0.35">
      <c r="A14" s="30"/>
      <c r="B14" s="38" t="s">
        <v>18</v>
      </c>
      <c r="C14" s="43">
        <v>8100</v>
      </c>
      <c r="D14" s="39" t="s">
        <v>19</v>
      </c>
      <c r="E14" s="34"/>
      <c r="F14" s="34"/>
      <c r="G14" s="34"/>
      <c r="H14" s="34"/>
      <c r="I14" s="20"/>
      <c r="J14" s="20"/>
      <c r="K14" s="20"/>
      <c r="L14" s="21"/>
    </row>
    <row r="15" spans="1:12" x14ac:dyDescent="0.35">
      <c r="A15" s="30"/>
      <c r="B15" s="38" t="s">
        <v>20</v>
      </c>
      <c r="C15" s="44">
        <v>46235</v>
      </c>
      <c r="D15" s="39" t="s">
        <v>163</v>
      </c>
      <c r="E15" s="34"/>
      <c r="F15" s="34"/>
      <c r="G15" s="34"/>
      <c r="H15" s="34"/>
      <c r="I15" s="20"/>
      <c r="J15" s="20"/>
      <c r="K15" s="20"/>
      <c r="L15" s="21"/>
    </row>
    <row r="16" spans="1:12" x14ac:dyDescent="0.35">
      <c r="A16" s="30"/>
      <c r="B16" s="38" t="s">
        <v>21</v>
      </c>
      <c r="C16" s="44" t="s">
        <v>22</v>
      </c>
      <c r="D16" s="39"/>
      <c r="E16" s="34"/>
      <c r="F16" s="34"/>
      <c r="G16" s="34"/>
      <c r="H16" s="34"/>
      <c r="I16" s="20"/>
      <c r="J16" s="20"/>
      <c r="K16" s="20"/>
      <c r="L16" s="21"/>
    </row>
    <row r="17" spans="1:12" x14ac:dyDescent="0.35">
      <c r="A17" s="30"/>
      <c r="B17" s="114"/>
      <c r="C17" s="115"/>
      <c r="D17" s="34"/>
      <c r="E17" s="34"/>
      <c r="F17" s="34"/>
      <c r="G17" s="34"/>
      <c r="H17" s="34"/>
      <c r="I17" s="20"/>
      <c r="J17" s="20"/>
      <c r="K17" s="20"/>
      <c r="L17" s="21"/>
    </row>
    <row r="18" spans="1:12" ht="18" x14ac:dyDescent="0.4">
      <c r="A18" s="25"/>
      <c r="B18" s="139" t="s">
        <v>23</v>
      </c>
      <c r="C18" s="26"/>
      <c r="D18" s="7"/>
      <c r="E18" s="7"/>
      <c r="F18" s="7"/>
      <c r="G18" s="7"/>
      <c r="H18" s="7"/>
      <c r="I18" s="7"/>
      <c r="J18" s="7"/>
      <c r="K18" s="7"/>
      <c r="L18" s="46"/>
    </row>
    <row r="19" spans="1:12" ht="18" x14ac:dyDescent="0.4">
      <c r="A19" s="47"/>
      <c r="B19" s="31"/>
      <c r="C19" s="32"/>
      <c r="D19" s="33"/>
      <c r="E19" s="34"/>
      <c r="F19" s="34"/>
      <c r="G19" s="34"/>
      <c r="H19" s="34"/>
      <c r="I19" s="20"/>
      <c r="J19" s="20"/>
      <c r="K19" s="20"/>
      <c r="L19" s="21"/>
    </row>
    <row r="20" spans="1:12" ht="28.5" x14ac:dyDescent="0.35">
      <c r="A20" s="48"/>
      <c r="B20" s="147" t="s">
        <v>24</v>
      </c>
      <c r="C20" s="148">
        <f>SROI!C39</f>
        <v>2.1989700451501055</v>
      </c>
      <c r="D20" s="20"/>
      <c r="E20" s="34"/>
      <c r="F20" s="34"/>
      <c r="G20" s="34"/>
      <c r="H20" s="34"/>
      <c r="I20" s="20"/>
      <c r="J20" s="20"/>
      <c r="K20" s="20"/>
      <c r="L20" s="21"/>
    </row>
    <row r="21" spans="1:12" x14ac:dyDescent="0.35">
      <c r="A21" s="49"/>
      <c r="B21" s="38" t="s">
        <v>25</v>
      </c>
      <c r="C21" s="36" t="s">
        <v>26</v>
      </c>
      <c r="D21" s="34"/>
      <c r="E21" s="34"/>
      <c r="F21" s="34"/>
      <c r="G21" s="34"/>
      <c r="H21" s="34"/>
      <c r="I21" s="20"/>
      <c r="J21" s="20"/>
      <c r="K21" s="20"/>
      <c r="L21" s="21"/>
    </row>
    <row r="22" spans="1:12" x14ac:dyDescent="0.35">
      <c r="A22" s="49"/>
      <c r="B22" s="38" t="s">
        <v>27</v>
      </c>
      <c r="C22" s="36" t="s">
        <v>28</v>
      </c>
      <c r="D22" s="20"/>
      <c r="E22" s="34"/>
      <c r="F22" s="34"/>
      <c r="G22" s="34"/>
      <c r="H22" s="34"/>
      <c r="I22" s="20"/>
      <c r="J22" s="20"/>
      <c r="K22" s="20"/>
      <c r="L22" s="21"/>
    </row>
    <row r="23" spans="1:12" ht="19.5" customHeight="1" x14ac:dyDescent="0.35">
      <c r="A23" s="49"/>
      <c r="B23" s="230" t="s">
        <v>29</v>
      </c>
      <c r="C23" s="149" t="s">
        <v>30</v>
      </c>
      <c r="D23" s="20"/>
      <c r="E23" s="34"/>
      <c r="F23" s="34"/>
      <c r="G23" s="34"/>
      <c r="H23" s="34"/>
      <c r="I23" s="20"/>
      <c r="J23" s="20"/>
      <c r="K23" s="20"/>
      <c r="L23" s="21"/>
    </row>
    <row r="24" spans="1:12" ht="19.5" customHeight="1" x14ac:dyDescent="0.35">
      <c r="A24" s="49"/>
      <c r="B24" s="231"/>
      <c r="C24" s="149" t="s">
        <v>31</v>
      </c>
      <c r="D24" s="20"/>
      <c r="E24" s="34"/>
      <c r="F24" s="34"/>
      <c r="G24" s="34"/>
      <c r="H24" s="34"/>
      <c r="I24" s="20"/>
      <c r="J24" s="20"/>
      <c r="K24" s="20"/>
      <c r="L24" s="21"/>
    </row>
    <row r="25" spans="1:12" ht="25.5" customHeight="1" x14ac:dyDescent="0.35">
      <c r="A25" s="49"/>
      <c r="B25" s="228" t="s">
        <v>32</v>
      </c>
      <c r="C25" s="229"/>
      <c r="D25" s="20"/>
      <c r="E25" s="34"/>
      <c r="F25" s="34"/>
      <c r="G25" s="34"/>
      <c r="H25" s="34"/>
      <c r="I25" s="20"/>
      <c r="J25" s="20"/>
      <c r="K25" s="20"/>
      <c r="L25" s="21"/>
    </row>
    <row r="26" spans="1:12" ht="30.75" customHeight="1" x14ac:dyDescent="0.35">
      <c r="A26" s="49"/>
      <c r="B26" s="178" t="s">
        <v>33</v>
      </c>
      <c r="C26" s="179" t="s">
        <v>34</v>
      </c>
      <c r="D26" s="20"/>
      <c r="E26" s="34"/>
      <c r="F26" s="34"/>
      <c r="G26" s="34"/>
      <c r="H26" s="34"/>
      <c r="I26" s="20"/>
      <c r="J26" s="20"/>
      <c r="K26" s="20"/>
      <c r="L26" s="21"/>
    </row>
    <row r="27" spans="1:12" ht="18.75" customHeight="1" x14ac:dyDescent="0.35">
      <c r="A27" s="49"/>
      <c r="B27" s="79" t="s">
        <v>35</v>
      </c>
      <c r="C27" s="177">
        <v>1.6</v>
      </c>
      <c r="D27" s="20"/>
      <c r="E27" s="34"/>
      <c r="F27" s="34"/>
      <c r="G27" s="34"/>
      <c r="H27" s="34"/>
      <c r="I27" s="20"/>
      <c r="J27" s="20"/>
      <c r="K27" s="20"/>
      <c r="L27" s="21"/>
    </row>
    <row r="28" spans="1:12" ht="15" customHeight="1" x14ac:dyDescent="0.35">
      <c r="A28" s="49"/>
      <c r="B28" s="79" t="s">
        <v>36</v>
      </c>
      <c r="C28" s="177">
        <v>5.5</v>
      </c>
      <c r="D28" s="20"/>
      <c r="E28" s="34"/>
      <c r="F28" s="34"/>
      <c r="G28" s="34"/>
      <c r="H28" s="34"/>
      <c r="I28" s="20"/>
      <c r="J28" s="20"/>
      <c r="K28" s="20"/>
      <c r="L28" s="21"/>
    </row>
    <row r="29" spans="1:12" ht="23.25" customHeight="1" x14ac:dyDescent="0.4">
      <c r="A29" s="47"/>
      <c r="B29" s="31"/>
      <c r="C29" s="32"/>
      <c r="D29" s="33"/>
      <c r="E29" s="34"/>
      <c r="F29" s="34"/>
      <c r="G29" s="34"/>
      <c r="H29" s="34"/>
      <c r="I29" s="20"/>
      <c r="J29" s="20"/>
      <c r="K29" s="20"/>
      <c r="L29" s="21"/>
    </row>
    <row r="30" spans="1:12" ht="18" x14ac:dyDescent="0.4">
      <c r="A30" s="25"/>
      <c r="B30" s="139" t="s">
        <v>37</v>
      </c>
      <c r="C30" s="26"/>
      <c r="D30" s="7"/>
      <c r="E30" s="27"/>
      <c r="F30" s="27"/>
      <c r="G30" s="27"/>
      <c r="H30" s="27"/>
      <c r="I30" s="28"/>
      <c r="J30" s="28"/>
      <c r="K30" s="28"/>
      <c r="L30" s="29"/>
    </row>
    <row r="31" spans="1:12" ht="18" x14ac:dyDescent="0.4">
      <c r="A31" s="47"/>
      <c r="B31" s="31"/>
      <c r="C31" s="32"/>
      <c r="D31" s="33"/>
      <c r="E31" s="34"/>
      <c r="F31" s="34"/>
      <c r="G31" s="34"/>
      <c r="H31" s="34"/>
      <c r="I31" s="20"/>
      <c r="J31" s="20"/>
      <c r="K31" s="20"/>
      <c r="L31" s="21"/>
    </row>
    <row r="32" spans="1:12" x14ac:dyDescent="0.35">
      <c r="A32" s="49"/>
      <c r="B32" s="38" t="s">
        <v>38</v>
      </c>
      <c r="C32" s="36" t="s">
        <v>39</v>
      </c>
      <c r="D32" s="34"/>
      <c r="E32" s="34"/>
      <c r="F32" s="34"/>
      <c r="G32" s="34"/>
      <c r="H32" s="34"/>
      <c r="I32" s="20"/>
      <c r="J32" s="20"/>
      <c r="K32" s="20"/>
      <c r="L32" s="21"/>
    </row>
    <row r="33" spans="1:12" x14ac:dyDescent="0.35">
      <c r="A33" s="49"/>
      <c r="B33" s="38" t="s">
        <v>40</v>
      </c>
      <c r="C33" s="36" t="s">
        <v>41</v>
      </c>
      <c r="D33" s="34"/>
      <c r="E33" s="34"/>
      <c r="F33" s="34"/>
      <c r="G33" s="34"/>
      <c r="H33" s="34"/>
      <c r="I33" s="20"/>
      <c r="J33" s="20"/>
      <c r="K33" s="20"/>
      <c r="L33" s="21"/>
    </row>
    <row r="34" spans="1:12" x14ac:dyDescent="0.35">
      <c r="A34" s="49"/>
      <c r="B34" s="38" t="s">
        <v>42</v>
      </c>
      <c r="C34" s="36" t="s">
        <v>43</v>
      </c>
      <c r="D34" s="34"/>
      <c r="E34" s="34"/>
      <c r="F34" s="34"/>
      <c r="G34" s="34"/>
      <c r="H34" s="34"/>
      <c r="I34" s="20"/>
      <c r="J34" s="20"/>
      <c r="K34" s="20"/>
      <c r="L34" s="21"/>
    </row>
    <row r="35" spans="1:12" x14ac:dyDescent="0.35">
      <c r="A35" s="49"/>
      <c r="B35" s="38" t="s">
        <v>44</v>
      </c>
      <c r="C35" s="36" t="s">
        <v>45</v>
      </c>
      <c r="D35" s="34"/>
      <c r="E35" s="34"/>
      <c r="F35" s="34"/>
      <c r="G35" s="34"/>
      <c r="H35" s="34"/>
      <c r="I35" s="20"/>
      <c r="J35" s="20"/>
      <c r="K35" s="20"/>
      <c r="L35" s="21"/>
    </row>
    <row r="36" spans="1:12" x14ac:dyDescent="0.35">
      <c r="A36" s="49"/>
      <c r="B36" s="38" t="s">
        <v>46</v>
      </c>
      <c r="C36" s="36" t="s">
        <v>47</v>
      </c>
      <c r="D36" s="34"/>
      <c r="E36" s="34"/>
      <c r="F36" s="34"/>
      <c r="G36" s="34"/>
      <c r="H36" s="34"/>
      <c r="I36" s="20"/>
      <c r="J36" s="20"/>
      <c r="K36" s="20"/>
      <c r="L36" s="21"/>
    </row>
    <row r="37" spans="1:12" x14ac:dyDescent="0.35">
      <c r="A37" s="49"/>
      <c r="B37" s="38" t="s">
        <v>48</v>
      </c>
      <c r="C37" s="36" t="s">
        <v>49</v>
      </c>
      <c r="D37" s="34"/>
      <c r="E37" s="34"/>
      <c r="F37" s="34"/>
      <c r="G37" s="34"/>
      <c r="H37" s="34"/>
      <c r="I37" s="20"/>
      <c r="J37" s="20"/>
      <c r="K37" s="20"/>
      <c r="L37" s="21"/>
    </row>
    <row r="38" spans="1:12" x14ac:dyDescent="0.35">
      <c r="A38" s="52"/>
      <c r="B38" s="53"/>
      <c r="C38" s="45"/>
      <c r="D38" s="34"/>
      <c r="E38" s="34"/>
      <c r="F38" s="34"/>
      <c r="G38" s="34"/>
      <c r="H38" s="34"/>
      <c r="I38" s="20"/>
      <c r="J38" s="20"/>
      <c r="K38" s="20"/>
      <c r="L38" s="21"/>
    </row>
    <row r="39" spans="1:12" ht="18" x14ac:dyDescent="0.4">
      <c r="A39" s="25"/>
      <c r="B39" s="139" t="s">
        <v>50</v>
      </c>
      <c r="C39" s="26"/>
      <c r="D39" s="7"/>
      <c r="E39" s="27"/>
      <c r="F39" s="27"/>
      <c r="G39" s="27"/>
      <c r="H39" s="27"/>
      <c r="I39" s="28"/>
      <c r="J39" s="28"/>
      <c r="K39" s="28"/>
      <c r="L39" s="29"/>
    </row>
    <row r="40" spans="1:12" ht="18" x14ac:dyDescent="0.4">
      <c r="A40" s="47"/>
      <c r="B40" s="31"/>
      <c r="C40" s="32"/>
      <c r="D40" s="33"/>
      <c r="E40" s="34"/>
      <c r="F40" s="34"/>
      <c r="G40" s="34"/>
      <c r="H40" s="34"/>
      <c r="I40" s="20"/>
      <c r="J40" s="20"/>
      <c r="K40" s="20"/>
      <c r="L40" s="21"/>
    </row>
    <row r="41" spans="1:12" ht="78.75" customHeight="1" x14ac:dyDescent="0.35">
      <c r="A41" s="49"/>
      <c r="B41" s="79" t="s">
        <v>51</v>
      </c>
      <c r="C41" s="227" t="s">
        <v>52</v>
      </c>
      <c r="D41" s="227"/>
      <c r="E41" s="227"/>
      <c r="F41" s="227"/>
      <c r="G41" s="227"/>
      <c r="H41" s="227"/>
      <c r="I41" s="227"/>
      <c r="J41" s="20"/>
      <c r="K41" s="20"/>
      <c r="L41" s="21"/>
    </row>
    <row r="42" spans="1:12" x14ac:dyDescent="0.35">
      <c r="A42" s="54"/>
      <c r="B42" s="55"/>
      <c r="C42" s="24"/>
      <c r="D42" s="20"/>
      <c r="E42" s="20"/>
      <c r="F42" s="20"/>
      <c r="G42" s="20"/>
      <c r="H42" s="20"/>
      <c r="I42" s="20"/>
      <c r="J42" s="20"/>
      <c r="K42" s="20"/>
      <c r="L42" s="21"/>
    </row>
    <row r="43" spans="1:12" ht="18" x14ac:dyDescent="0.4">
      <c r="A43" s="25"/>
      <c r="B43" s="139" t="s">
        <v>53</v>
      </c>
      <c r="C43" s="26"/>
      <c r="D43" s="7"/>
      <c r="E43" s="27"/>
      <c r="F43" s="27"/>
      <c r="G43" s="27"/>
      <c r="H43" s="27"/>
      <c r="I43" s="28"/>
      <c r="J43" s="28"/>
      <c r="K43" s="28"/>
      <c r="L43" s="29"/>
    </row>
    <row r="44" spans="1:12" x14ac:dyDescent="0.35">
      <c r="A44" s="54"/>
      <c r="B44" s="55"/>
      <c r="C44" s="24"/>
      <c r="D44" s="20"/>
      <c r="E44" s="20"/>
      <c r="F44" s="20"/>
      <c r="G44" s="20"/>
      <c r="H44" s="20"/>
      <c r="I44" s="20"/>
      <c r="J44" s="20"/>
      <c r="K44" s="20"/>
      <c r="L44" s="21"/>
    </row>
    <row r="45" spans="1:12" x14ac:dyDescent="0.35">
      <c r="A45" s="54"/>
      <c r="B45" s="55"/>
      <c r="C45" s="24"/>
      <c r="D45" s="20"/>
      <c r="E45" s="20"/>
      <c r="F45" s="20"/>
      <c r="G45" s="20"/>
      <c r="H45" s="20"/>
      <c r="I45" s="20"/>
      <c r="J45" s="20"/>
      <c r="K45" s="20"/>
      <c r="L45" s="21"/>
    </row>
    <row r="46" spans="1:12" x14ac:dyDescent="0.35">
      <c r="A46" s="54"/>
      <c r="B46" s="55"/>
      <c r="C46" s="24"/>
      <c r="D46" s="56"/>
      <c r="E46" s="20"/>
      <c r="F46" s="20"/>
      <c r="G46" s="20"/>
      <c r="H46" s="20"/>
      <c r="I46" s="20"/>
      <c r="J46" s="20"/>
      <c r="K46" s="20"/>
      <c r="L46" s="21"/>
    </row>
    <row r="47" spans="1:12" x14ac:dyDescent="0.35">
      <c r="A47" s="57"/>
      <c r="B47"/>
      <c r="C47" s="58"/>
      <c r="D47" s="56"/>
      <c r="E47" s="59"/>
      <c r="F47" s="60"/>
      <c r="G47" s="60"/>
      <c r="H47" s="20"/>
      <c r="I47" s="20"/>
      <c r="J47" s="20"/>
      <c r="K47" s="20"/>
      <c r="L47" s="21"/>
    </row>
    <row r="48" spans="1:12" x14ac:dyDescent="0.35">
      <c r="A48" s="57"/>
      <c r="B48"/>
      <c r="C48" s="58"/>
      <c r="D48" s="56"/>
      <c r="E48" s="59"/>
      <c r="F48" s="60"/>
      <c r="G48" s="60"/>
      <c r="H48" s="20"/>
      <c r="I48" s="20"/>
      <c r="J48" s="20"/>
      <c r="K48" s="20"/>
      <c r="L48" s="21"/>
    </row>
    <row r="49" spans="1:12" x14ac:dyDescent="0.35">
      <c r="A49" s="57"/>
      <c r="B49" t="s">
        <v>54</v>
      </c>
      <c r="C49" s="58">
        <f>SROI!C33</f>
        <v>667.15655647976553</v>
      </c>
      <c r="D49" s="56"/>
      <c r="E49" s="226"/>
      <c r="F49" s="65" t="s">
        <v>55</v>
      </c>
      <c r="G49" s="60">
        <f>SROI!C31</f>
        <v>5403968.1074861009</v>
      </c>
      <c r="H49" s="20"/>
      <c r="I49" s="20"/>
      <c r="J49" s="20"/>
      <c r="K49" s="20"/>
      <c r="L49" s="21"/>
    </row>
    <row r="50" spans="1:12" x14ac:dyDescent="0.35">
      <c r="A50" s="54"/>
      <c r="B50" t="s">
        <v>56</v>
      </c>
      <c r="C50" s="58">
        <f>SROI!C27</f>
        <v>303.3950180227327</v>
      </c>
      <c r="D50" s="20"/>
      <c r="E50" s="226"/>
      <c r="F50" s="65" t="s">
        <v>57</v>
      </c>
      <c r="G50" s="60">
        <f>SROI!C26</f>
        <v>2457499.6459841346</v>
      </c>
      <c r="H50" s="20"/>
      <c r="I50" s="20"/>
      <c r="J50" s="20"/>
      <c r="K50" s="20"/>
      <c r="L50" s="21"/>
    </row>
    <row r="51" spans="1:12" x14ac:dyDescent="0.35">
      <c r="A51" s="54"/>
      <c r="B51" s="55" t="s">
        <v>58</v>
      </c>
      <c r="C51" s="80">
        <f>SROI!C34</f>
        <v>363.76153845703283</v>
      </c>
      <c r="D51" s="20"/>
      <c r="E51" s="226"/>
      <c r="F51" s="65" t="s">
        <v>59</v>
      </c>
      <c r="G51" s="60">
        <f>SROI!C32</f>
        <v>2946468.4615019662</v>
      </c>
      <c r="H51" s="20"/>
      <c r="I51" s="20"/>
      <c r="J51" s="20"/>
      <c r="K51" s="20"/>
      <c r="L51" s="21"/>
    </row>
    <row r="52" spans="1:12" x14ac:dyDescent="0.35">
      <c r="A52" s="22"/>
      <c r="B52" s="23"/>
      <c r="C52" s="24"/>
      <c r="D52" s="20"/>
      <c r="E52" s="20"/>
      <c r="F52" s="20"/>
      <c r="G52" s="20"/>
      <c r="H52" s="20"/>
      <c r="I52" s="20"/>
      <c r="J52" s="20"/>
      <c r="K52" s="20"/>
      <c r="L52" s="21"/>
    </row>
    <row r="53" spans="1:12" x14ac:dyDescent="0.35">
      <c r="A53" s="22"/>
      <c r="B53" s="23"/>
      <c r="C53" s="24"/>
      <c r="D53" s="20"/>
      <c r="E53" s="20"/>
      <c r="F53" s="20"/>
      <c r="G53" s="20"/>
      <c r="H53" s="20"/>
      <c r="J53" s="20"/>
      <c r="K53" s="20"/>
      <c r="L53" s="21"/>
    </row>
    <row r="54" spans="1:12" x14ac:dyDescent="0.35">
      <c r="A54" s="22"/>
      <c r="B54" s="23"/>
      <c r="C54" s="24"/>
      <c r="D54" s="20"/>
      <c r="E54" s="20"/>
      <c r="F54" s="20"/>
      <c r="G54" s="20"/>
      <c r="H54" s="20"/>
      <c r="I54" s="20"/>
      <c r="J54" s="20"/>
      <c r="K54" s="20"/>
      <c r="L54" s="21"/>
    </row>
    <row r="55" spans="1:12" x14ac:dyDescent="0.35">
      <c r="A55" s="22"/>
      <c r="B55" s="23"/>
      <c r="C55" s="24"/>
      <c r="D55" s="20"/>
      <c r="E55" s="20"/>
      <c r="F55" s="20"/>
      <c r="G55" s="20"/>
      <c r="H55" s="20"/>
      <c r="I55" s="20"/>
      <c r="J55" s="20"/>
      <c r="K55" s="20"/>
      <c r="L55" s="21"/>
    </row>
    <row r="56" spans="1:12" x14ac:dyDescent="0.35">
      <c r="A56" s="22"/>
      <c r="B56" s="23"/>
      <c r="C56" s="24"/>
      <c r="D56" s="20"/>
      <c r="E56" s="20"/>
      <c r="F56" s="20"/>
      <c r="G56" s="20"/>
      <c r="H56" s="20"/>
      <c r="I56" s="20"/>
      <c r="J56" s="20"/>
      <c r="K56" s="20"/>
      <c r="L56" s="21"/>
    </row>
    <row r="57" spans="1:12" x14ac:dyDescent="0.35">
      <c r="A57" s="22"/>
      <c r="B57" s="23"/>
      <c r="C57" s="24"/>
      <c r="D57" s="20"/>
      <c r="E57" s="20"/>
      <c r="F57" s="20"/>
      <c r="G57" s="20"/>
      <c r="H57" s="20"/>
      <c r="I57" s="20"/>
      <c r="J57" s="20"/>
      <c r="K57" s="20"/>
      <c r="L57" s="21"/>
    </row>
    <row r="58" spans="1:12" x14ac:dyDescent="0.35">
      <c r="A58" s="22"/>
      <c r="B58" s="23"/>
      <c r="C58" s="24"/>
      <c r="D58" s="20"/>
      <c r="E58" s="20"/>
      <c r="F58" s="20"/>
      <c r="G58" s="20"/>
      <c r="H58" s="20"/>
      <c r="I58" s="20"/>
      <c r="J58" s="20"/>
      <c r="K58" s="20"/>
      <c r="L58" s="21"/>
    </row>
    <row r="59" spans="1:12" x14ac:dyDescent="0.35">
      <c r="A59" s="22"/>
      <c r="B59" s="23"/>
      <c r="C59" s="24"/>
      <c r="D59" s="20"/>
      <c r="E59" s="20"/>
      <c r="F59" s="20"/>
      <c r="G59" s="20"/>
      <c r="H59" s="20"/>
      <c r="I59" s="20"/>
      <c r="J59" s="20"/>
      <c r="K59" s="20"/>
      <c r="L59" s="21"/>
    </row>
    <row r="60" spans="1:12" x14ac:dyDescent="0.35">
      <c r="A60" s="22"/>
      <c r="B60" s="23"/>
      <c r="C60" s="24"/>
      <c r="D60" s="20"/>
      <c r="E60" s="20"/>
      <c r="F60" s="20"/>
      <c r="G60" s="20"/>
      <c r="H60" s="20"/>
      <c r="I60" s="20"/>
      <c r="J60" s="20"/>
      <c r="K60" s="20"/>
      <c r="L60" s="21"/>
    </row>
    <row r="61" spans="1:12" x14ac:dyDescent="0.35">
      <c r="A61" s="22"/>
      <c r="B61" s="23"/>
      <c r="C61" s="24"/>
      <c r="D61" s="20"/>
      <c r="E61" s="20"/>
      <c r="F61" s="20"/>
      <c r="G61" s="20"/>
      <c r="H61" s="20"/>
      <c r="I61" s="20"/>
      <c r="J61" s="20"/>
      <c r="K61" s="20"/>
      <c r="L61" s="21"/>
    </row>
    <row r="62" spans="1:12" x14ac:dyDescent="0.35">
      <c r="A62" s="22"/>
      <c r="B62" s="23"/>
      <c r="C62" s="24"/>
      <c r="D62" s="20"/>
      <c r="E62" s="20"/>
      <c r="F62" s="20"/>
      <c r="G62" s="20"/>
      <c r="H62" s="20"/>
      <c r="I62" s="20"/>
      <c r="J62" s="20"/>
      <c r="K62" s="20"/>
      <c r="L62" s="21"/>
    </row>
    <row r="63" spans="1:12" x14ac:dyDescent="0.35">
      <c r="A63" s="22"/>
      <c r="B63" s="23"/>
      <c r="C63" s="24"/>
      <c r="D63" s="20"/>
      <c r="E63" s="20"/>
      <c r="F63" s="20"/>
      <c r="G63" s="20"/>
      <c r="H63" s="20"/>
      <c r="I63" s="20"/>
      <c r="J63" s="20"/>
      <c r="K63" s="20"/>
      <c r="L63" s="21"/>
    </row>
    <row r="64" spans="1:12" x14ac:dyDescent="0.35">
      <c r="A64" s="22"/>
      <c r="B64" s="23"/>
      <c r="C64" s="24"/>
      <c r="D64" s="20"/>
      <c r="E64" s="20"/>
      <c r="F64" s="20"/>
      <c r="G64" s="20"/>
      <c r="H64" s="20"/>
      <c r="I64" s="20"/>
      <c r="J64" s="20"/>
      <c r="K64" s="20"/>
      <c r="L64" s="21"/>
    </row>
    <row r="65" spans="1:12" x14ac:dyDescent="0.35">
      <c r="A65" s="20"/>
      <c r="B65" s="20"/>
      <c r="C65" s="20"/>
      <c r="D65" s="20"/>
      <c r="E65" s="20"/>
      <c r="F65" s="20"/>
      <c r="G65" s="20"/>
      <c r="H65" s="20"/>
      <c r="I65" s="20"/>
      <c r="J65" s="20"/>
      <c r="K65" s="20"/>
      <c r="L65" s="21"/>
    </row>
    <row r="66" spans="1:12" ht="15.5" x14ac:dyDescent="0.35">
      <c r="A66" s="61"/>
      <c r="B66" s="78" t="s">
        <v>60</v>
      </c>
      <c r="C66" s="62"/>
      <c r="D66" s="63"/>
      <c r="E66" s="63"/>
      <c r="F66" s="63"/>
      <c r="G66" s="63"/>
      <c r="H66" s="63"/>
      <c r="I66" s="63"/>
      <c r="J66" s="63"/>
      <c r="K66" s="63"/>
      <c r="L66" s="64"/>
    </row>
  </sheetData>
  <mergeCells count="4">
    <mergeCell ref="E49:E51"/>
    <mergeCell ref="C41:I41"/>
    <mergeCell ref="B25:C25"/>
    <mergeCell ref="B23:B24"/>
  </mergeCells>
  <conditionalFormatting sqref="C22">
    <cfRule type="cellIs" dxfId="12" priority="5" operator="equal">
      <formula>"High"</formula>
    </cfRule>
    <cfRule type="cellIs" dxfId="11" priority="6" operator="equal">
      <formula>"Medium"</formula>
    </cfRule>
    <cfRule type="cellIs" dxfId="10" priority="7" operator="equal">
      <formula>"Low"</formula>
    </cfRule>
  </conditionalFormatting>
  <conditionalFormatting sqref="C37">
    <cfRule type="cellIs" dxfId="9" priority="2" operator="equal">
      <formula>"Excellent"</formula>
    </cfRule>
    <cfRule type="cellIs" dxfId="8" priority="3" operator="equal">
      <formula>"Good"</formula>
    </cfRule>
    <cfRule type="cellIs" dxfId="7" priority="4" operator="equal">
      <formula>"Fair"</formula>
    </cfRule>
  </conditionalFormatting>
  <dataValidations disablePrompts="1" count="3">
    <dataValidation type="list" allowBlank="1" showInputMessage="1" showErrorMessage="1" sqref="C22" xr:uid="{F4282980-838A-453C-9606-A29EE1C87F72}">
      <formula1>"Low, Medium, High"</formula1>
    </dataValidation>
    <dataValidation type="list" allowBlank="1" showInputMessage="1" showErrorMessage="1" sqref="C37" xr:uid="{86752230-D154-4F66-B2F9-5A4438981BAF}">
      <formula1>"Fair, Good, Excellent"</formula1>
    </dataValidation>
    <dataValidation type="list" allowBlank="1" showInputMessage="1" showErrorMessage="1" sqref="C21" xr:uid="{4F45852F-BF30-411E-A0E1-77B0B68C0BE5}">
      <formula1>"Forecast, Evaluative"</formula1>
    </dataValidation>
  </dataValidations>
  <hyperlinks>
    <hyperlink ref="C8" r:id="rId1" xr:uid="{D7ED6DD0-D961-4F45-9A22-A265793D6870}"/>
    <hyperlink ref="C23" r:id="rId2" xr:uid="{75EE56B5-E7DB-4303-B2FD-B73B855FB914}"/>
    <hyperlink ref="C24" r:id="rId3" xr:uid="{BC6765D8-5C40-4B3B-9EEA-B8BA2A40C45D}"/>
  </hyperlinks>
  <pageMargins left="0.7" right="0.7" top="0.75" bottom="0.75" header="0.3" footer="0.3"/>
  <pageSetup paperSize="9" orientation="portrait" horizontalDpi="1200" verticalDpi="12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2848-7CAB-4579-ACB8-C92F4AE5DBEA}">
  <dimension ref="A1:Q88"/>
  <sheetViews>
    <sheetView showGridLines="0" zoomScale="80" zoomScaleNormal="130" workbookViewId="0">
      <selection activeCell="U47" sqref="U47"/>
    </sheetView>
  </sheetViews>
  <sheetFormatPr baseColWidth="10" defaultColWidth="9.453125" defaultRowHeight="14.5" x14ac:dyDescent="0.35"/>
  <sheetData>
    <row r="1" spans="1:17" ht="18" x14ac:dyDescent="0.4">
      <c r="A1" s="82" t="s">
        <v>61</v>
      </c>
      <c r="B1" s="85"/>
      <c r="C1" s="85"/>
      <c r="D1" s="85"/>
      <c r="E1" s="85"/>
      <c r="F1" s="85"/>
      <c r="G1" s="85"/>
      <c r="H1" s="85"/>
      <c r="I1" s="85"/>
      <c r="J1" s="85"/>
      <c r="K1" s="85"/>
      <c r="L1" s="85"/>
      <c r="M1" s="85"/>
      <c r="N1" s="85"/>
      <c r="O1" s="85"/>
      <c r="P1" s="85"/>
      <c r="Q1" s="86"/>
    </row>
    <row r="2" spans="1:17" x14ac:dyDescent="0.35">
      <c r="A2" s="69"/>
      <c r="Q2" s="68"/>
    </row>
    <row r="3" spans="1:17" x14ac:dyDescent="0.35">
      <c r="A3" s="69"/>
      <c r="Q3" s="68"/>
    </row>
    <row r="4" spans="1:17" x14ac:dyDescent="0.35">
      <c r="A4" s="69"/>
      <c r="Q4" s="68"/>
    </row>
    <row r="5" spans="1:17" x14ac:dyDescent="0.35">
      <c r="A5" s="69"/>
      <c r="Q5" s="68"/>
    </row>
    <row r="6" spans="1:17" x14ac:dyDescent="0.35">
      <c r="A6" s="69"/>
      <c r="Q6" s="68"/>
    </row>
    <row r="7" spans="1:17" x14ac:dyDescent="0.35">
      <c r="A7" s="69"/>
      <c r="Q7" s="68"/>
    </row>
    <row r="8" spans="1:17" x14ac:dyDescent="0.35">
      <c r="A8" s="69"/>
      <c r="Q8" s="68"/>
    </row>
    <row r="9" spans="1:17" x14ac:dyDescent="0.35">
      <c r="A9" s="69"/>
      <c r="Q9" s="68"/>
    </row>
    <row r="10" spans="1:17" x14ac:dyDescent="0.35">
      <c r="A10" s="69"/>
      <c r="Q10" s="68"/>
    </row>
    <row r="11" spans="1:17" x14ac:dyDescent="0.35">
      <c r="A11" s="69"/>
      <c r="Q11" s="68"/>
    </row>
    <row r="12" spans="1:17" x14ac:dyDescent="0.35">
      <c r="A12" s="69"/>
      <c r="Q12" s="68"/>
    </row>
    <row r="13" spans="1:17" x14ac:dyDescent="0.35">
      <c r="A13" s="69"/>
      <c r="Q13" s="68"/>
    </row>
    <row r="14" spans="1:17" x14ac:dyDescent="0.35">
      <c r="A14" s="69"/>
      <c r="Q14" s="68"/>
    </row>
    <row r="15" spans="1:17" x14ac:dyDescent="0.35">
      <c r="A15" s="69"/>
      <c r="Q15" s="68"/>
    </row>
    <row r="16" spans="1:17" x14ac:dyDescent="0.35">
      <c r="A16" s="69"/>
      <c r="Q16" s="68"/>
    </row>
    <row r="17" spans="1:17" x14ac:dyDescent="0.35">
      <c r="A17" s="69"/>
      <c r="Q17" s="68"/>
    </row>
    <row r="18" spans="1:17" x14ac:dyDescent="0.35">
      <c r="A18" s="69"/>
      <c r="Q18" s="68"/>
    </row>
    <row r="19" spans="1:17" x14ac:dyDescent="0.35">
      <c r="A19" s="69"/>
      <c r="Q19" s="68"/>
    </row>
    <row r="20" spans="1:17" x14ac:dyDescent="0.35">
      <c r="A20" s="69"/>
      <c r="Q20" s="68"/>
    </row>
    <row r="21" spans="1:17" x14ac:dyDescent="0.35">
      <c r="A21" s="69"/>
      <c r="Q21" s="68"/>
    </row>
    <row r="22" spans="1:17" x14ac:dyDescent="0.35">
      <c r="A22" s="69"/>
      <c r="Q22" s="68"/>
    </row>
    <row r="23" spans="1:17" x14ac:dyDescent="0.35">
      <c r="A23" s="69"/>
      <c r="Q23" s="68"/>
    </row>
    <row r="24" spans="1:17" x14ac:dyDescent="0.35">
      <c r="A24" s="69"/>
      <c r="Q24" s="68"/>
    </row>
    <row r="25" spans="1:17" x14ac:dyDescent="0.35">
      <c r="A25" s="69"/>
      <c r="Q25" s="68"/>
    </row>
    <row r="26" spans="1:17" ht="18" x14ac:dyDescent="0.4">
      <c r="A26" s="12" t="s">
        <v>62</v>
      </c>
      <c r="B26" s="7"/>
      <c r="C26" s="7"/>
      <c r="D26" s="7"/>
      <c r="E26" s="7"/>
      <c r="F26" s="7"/>
      <c r="G26" s="7"/>
      <c r="H26" s="7"/>
      <c r="I26" s="7"/>
      <c r="J26" s="7"/>
      <c r="K26" s="7"/>
      <c r="L26" s="7"/>
      <c r="M26" s="7"/>
      <c r="N26" s="7"/>
      <c r="O26" s="7"/>
      <c r="P26" s="7"/>
      <c r="Q26" s="70"/>
    </row>
    <row r="27" spans="1:17" x14ac:dyDescent="0.35">
      <c r="A27" s="69"/>
      <c r="Q27" s="68"/>
    </row>
    <row r="28" spans="1:17" x14ac:dyDescent="0.35">
      <c r="A28" s="69"/>
      <c r="Q28" s="68"/>
    </row>
    <row r="29" spans="1:17" x14ac:dyDescent="0.35">
      <c r="A29" s="69"/>
      <c r="Q29" s="68"/>
    </row>
    <row r="30" spans="1:17" x14ac:dyDescent="0.35">
      <c r="A30" s="69"/>
      <c r="Q30" s="68"/>
    </row>
    <row r="31" spans="1:17" x14ac:dyDescent="0.35">
      <c r="A31" s="69"/>
      <c r="Q31" s="68"/>
    </row>
    <row r="32" spans="1:17" x14ac:dyDescent="0.35">
      <c r="A32" s="69"/>
      <c r="Q32" s="68"/>
    </row>
    <row r="33" spans="1:17" x14ac:dyDescent="0.35">
      <c r="A33" s="69"/>
      <c r="Q33" s="68"/>
    </row>
    <row r="34" spans="1:17" x14ac:dyDescent="0.35">
      <c r="A34" s="69"/>
      <c r="Q34" s="68"/>
    </row>
    <row r="35" spans="1:17" x14ac:dyDescent="0.35">
      <c r="A35" s="69"/>
      <c r="Q35" s="68"/>
    </row>
    <row r="36" spans="1:17" x14ac:dyDescent="0.35">
      <c r="A36" s="69"/>
      <c r="Q36" s="68"/>
    </row>
    <row r="37" spans="1:17" x14ac:dyDescent="0.35">
      <c r="A37" s="69"/>
      <c r="Q37" s="68"/>
    </row>
    <row r="38" spans="1:17" x14ac:dyDescent="0.35">
      <c r="A38" s="69"/>
      <c r="Q38" s="68"/>
    </row>
    <row r="39" spans="1:17" x14ac:dyDescent="0.35">
      <c r="A39" s="69"/>
      <c r="Q39" s="68"/>
    </row>
    <row r="40" spans="1:17" x14ac:dyDescent="0.35">
      <c r="A40" s="69"/>
      <c r="Q40" s="68"/>
    </row>
    <row r="41" spans="1:17" x14ac:dyDescent="0.35">
      <c r="A41" s="69"/>
      <c r="Q41" s="68"/>
    </row>
    <row r="42" spans="1:17" x14ac:dyDescent="0.35">
      <c r="A42" s="69"/>
      <c r="Q42" s="68"/>
    </row>
    <row r="43" spans="1:17" x14ac:dyDescent="0.35">
      <c r="A43" s="69"/>
      <c r="Q43" s="68"/>
    </row>
    <row r="44" spans="1:17" x14ac:dyDescent="0.35">
      <c r="A44" s="69"/>
      <c r="Q44" s="68"/>
    </row>
    <row r="45" spans="1:17" x14ac:dyDescent="0.35">
      <c r="A45" s="69"/>
      <c r="Q45" s="68"/>
    </row>
    <row r="46" spans="1:17" x14ac:dyDescent="0.35">
      <c r="A46" s="69"/>
      <c r="Q46" s="68"/>
    </row>
    <row r="47" spans="1:17" x14ac:dyDescent="0.35">
      <c r="A47" s="69"/>
      <c r="Q47" s="68"/>
    </row>
    <row r="48" spans="1:17" x14ac:dyDescent="0.35">
      <c r="A48" s="69"/>
      <c r="Q48" s="68"/>
    </row>
    <row r="49" spans="1:17" x14ac:dyDescent="0.35">
      <c r="A49" s="69"/>
      <c r="Q49" s="68"/>
    </row>
    <row r="50" spans="1:17" x14ac:dyDescent="0.35">
      <c r="A50" s="69"/>
      <c r="Q50" s="68"/>
    </row>
    <row r="51" spans="1:17" x14ac:dyDescent="0.35">
      <c r="A51" s="69"/>
      <c r="Q51" s="68"/>
    </row>
    <row r="52" spans="1:17" x14ac:dyDescent="0.35">
      <c r="A52" s="69"/>
      <c r="Q52" s="68"/>
    </row>
    <row r="53" spans="1:17" x14ac:dyDescent="0.35">
      <c r="A53" s="69"/>
      <c r="Q53" s="68"/>
    </row>
    <row r="54" spans="1:17" ht="18" x14ac:dyDescent="0.4">
      <c r="A54" s="12" t="s">
        <v>63</v>
      </c>
      <c r="B54" s="7"/>
      <c r="C54" s="7"/>
      <c r="D54" s="7"/>
      <c r="E54" s="7"/>
      <c r="F54" s="7"/>
      <c r="G54" s="7"/>
      <c r="H54" s="7"/>
      <c r="I54" s="7"/>
      <c r="J54" s="7"/>
      <c r="K54" s="7"/>
      <c r="L54" s="7"/>
      <c r="M54" s="7"/>
      <c r="N54" s="7"/>
      <c r="O54" s="7"/>
      <c r="P54" s="7"/>
      <c r="Q54" s="70"/>
    </row>
    <row r="55" spans="1:17" x14ac:dyDescent="0.35">
      <c r="A55" s="69"/>
      <c r="Q55" s="68"/>
    </row>
    <row r="56" spans="1:17" x14ac:dyDescent="0.35">
      <c r="A56" s="69"/>
      <c r="Q56" s="68"/>
    </row>
    <row r="57" spans="1:17" x14ac:dyDescent="0.35">
      <c r="A57" s="69"/>
      <c r="Q57" s="68"/>
    </row>
    <row r="58" spans="1:17" x14ac:dyDescent="0.35">
      <c r="A58" s="69"/>
      <c r="Q58" s="68"/>
    </row>
    <row r="59" spans="1:17" x14ac:dyDescent="0.35">
      <c r="A59" s="69"/>
      <c r="Q59" s="68"/>
    </row>
    <row r="60" spans="1:17" x14ac:dyDescent="0.35">
      <c r="A60" s="69"/>
      <c r="Q60" s="68"/>
    </row>
    <row r="61" spans="1:17" x14ac:dyDescent="0.35">
      <c r="A61" s="69"/>
      <c r="Q61" s="68"/>
    </row>
    <row r="62" spans="1:17" x14ac:dyDescent="0.35">
      <c r="A62" s="69"/>
      <c r="Q62" s="68"/>
    </row>
    <row r="63" spans="1:17" x14ac:dyDescent="0.35">
      <c r="A63" s="69"/>
      <c r="Q63" s="68"/>
    </row>
    <row r="64" spans="1:17" x14ac:dyDescent="0.35">
      <c r="A64" s="69"/>
      <c r="Q64" s="68"/>
    </row>
    <row r="65" spans="1:17" x14ac:dyDescent="0.35">
      <c r="A65" s="69"/>
      <c r="Q65" s="68"/>
    </row>
    <row r="66" spans="1:17" x14ac:dyDescent="0.35">
      <c r="A66" s="69"/>
      <c r="Q66" s="68"/>
    </row>
    <row r="67" spans="1:17" x14ac:dyDescent="0.35">
      <c r="A67" s="69"/>
      <c r="Q67" s="68"/>
    </row>
    <row r="68" spans="1:17" x14ac:dyDescent="0.35">
      <c r="A68" s="69"/>
      <c r="Q68" s="68"/>
    </row>
    <row r="69" spans="1:17" x14ac:dyDescent="0.35">
      <c r="A69" s="69"/>
      <c r="Q69" s="68"/>
    </row>
    <row r="70" spans="1:17" x14ac:dyDescent="0.35">
      <c r="A70" s="69"/>
      <c r="Q70" s="68"/>
    </row>
    <row r="71" spans="1:17" x14ac:dyDescent="0.35">
      <c r="A71" s="69"/>
      <c r="Q71" s="68"/>
    </row>
    <row r="72" spans="1:17" x14ac:dyDescent="0.35">
      <c r="A72" s="69"/>
      <c r="Q72" s="68"/>
    </row>
    <row r="73" spans="1:17" x14ac:dyDescent="0.35">
      <c r="A73" s="69"/>
      <c r="Q73" s="68"/>
    </row>
    <row r="74" spans="1:17" x14ac:dyDescent="0.35">
      <c r="A74" s="69"/>
      <c r="Q74" s="68"/>
    </row>
    <row r="75" spans="1:17" x14ac:dyDescent="0.35">
      <c r="A75" s="69"/>
      <c r="Q75" s="68"/>
    </row>
    <row r="76" spans="1:17" x14ac:dyDescent="0.35">
      <c r="A76" s="69"/>
      <c r="Q76" s="68"/>
    </row>
    <row r="77" spans="1:17" x14ac:dyDescent="0.35">
      <c r="A77" s="69"/>
      <c r="Q77" s="68"/>
    </row>
    <row r="78" spans="1:17" x14ac:dyDescent="0.35">
      <c r="A78" s="69"/>
      <c r="Q78" s="68"/>
    </row>
    <row r="79" spans="1:17" x14ac:dyDescent="0.35">
      <c r="A79" s="69"/>
      <c r="Q79" s="68"/>
    </row>
    <row r="80" spans="1:17" x14ac:dyDescent="0.35">
      <c r="A80" s="69"/>
      <c r="Q80" s="68"/>
    </row>
    <row r="81" spans="1:17" x14ac:dyDescent="0.35">
      <c r="A81" s="69"/>
      <c r="Q81" s="68"/>
    </row>
    <row r="82" spans="1:17" x14ac:dyDescent="0.35">
      <c r="A82" s="69"/>
      <c r="Q82" s="68"/>
    </row>
    <row r="83" spans="1:17" x14ac:dyDescent="0.35">
      <c r="A83" s="69"/>
      <c r="Q83" s="68"/>
    </row>
    <row r="84" spans="1:17" x14ac:dyDescent="0.35">
      <c r="A84" s="69"/>
      <c r="Q84" s="68"/>
    </row>
    <row r="85" spans="1:17" x14ac:dyDescent="0.35">
      <c r="A85" s="69"/>
      <c r="Q85" s="68"/>
    </row>
    <row r="86" spans="1:17" x14ac:dyDescent="0.35">
      <c r="A86" s="69"/>
      <c r="Q86" s="68"/>
    </row>
    <row r="87" spans="1:17" x14ac:dyDescent="0.35">
      <c r="A87" s="69"/>
      <c r="Q87" s="68"/>
    </row>
    <row r="88" spans="1:17" x14ac:dyDescent="0.35">
      <c r="A88" s="71"/>
      <c r="B88" s="72"/>
      <c r="C88" s="72"/>
      <c r="D88" s="72"/>
      <c r="E88" s="72"/>
      <c r="F88" s="72"/>
      <c r="G88" s="72"/>
      <c r="H88" s="72"/>
      <c r="I88" s="72"/>
      <c r="J88" s="72"/>
      <c r="K88" s="72"/>
      <c r="L88" s="72"/>
      <c r="M88" s="72"/>
      <c r="N88" s="72"/>
      <c r="O88" s="72"/>
      <c r="P88" s="72"/>
      <c r="Q88" s="7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7F8-203B-44F8-B408-7D42B97454D4}">
  <dimension ref="A1:N74"/>
  <sheetViews>
    <sheetView showGridLines="0" zoomScale="44" zoomScaleNormal="70" workbookViewId="0">
      <selection activeCell="H12" sqref="H12"/>
    </sheetView>
  </sheetViews>
  <sheetFormatPr baseColWidth="10" defaultColWidth="8.54296875" defaultRowHeight="14.5" x14ac:dyDescent="0.35"/>
  <cols>
    <col min="1" max="1" width="2.453125" customWidth="1"/>
    <col min="2" max="2" width="46.26953125" customWidth="1"/>
    <col min="3" max="3" width="30.7265625" customWidth="1"/>
    <col min="4" max="4" width="15.54296875" customWidth="1"/>
    <col min="5" max="5" width="15.36328125" customWidth="1"/>
    <col min="6" max="6" width="12.54296875" customWidth="1"/>
    <col min="11" max="11" width="13.453125" customWidth="1"/>
    <col min="14" max="14" width="10.453125" customWidth="1"/>
  </cols>
  <sheetData>
    <row r="1" spans="1:14" ht="18" x14ac:dyDescent="0.4">
      <c r="A1" s="183"/>
      <c r="B1" s="138" t="s">
        <v>64</v>
      </c>
      <c r="C1" s="84"/>
      <c r="D1" s="83"/>
      <c r="E1" s="85"/>
      <c r="F1" s="85"/>
      <c r="G1" s="85"/>
      <c r="H1" s="85"/>
      <c r="I1" s="85"/>
      <c r="J1" s="85"/>
      <c r="K1" s="85"/>
      <c r="L1" s="85"/>
      <c r="M1" s="85"/>
      <c r="N1" s="86"/>
    </row>
    <row r="2" spans="1:14" ht="18" x14ac:dyDescent="0.4">
      <c r="A2" s="87"/>
      <c r="B2" s="184"/>
      <c r="C2" s="185"/>
      <c r="D2" s="186"/>
      <c r="N2" s="68"/>
    </row>
    <row r="3" spans="1:14" ht="31.5" customHeight="1" x14ac:dyDescent="0.35">
      <c r="A3" s="87"/>
      <c r="B3" s="156" t="s">
        <v>65</v>
      </c>
      <c r="C3" s="176" t="s">
        <v>66</v>
      </c>
      <c r="E3" s="235" t="s">
        <v>67</v>
      </c>
      <c r="F3" s="235"/>
      <c r="G3" s="235"/>
      <c r="H3" s="235"/>
      <c r="I3" s="235"/>
      <c r="J3" s="235"/>
      <c r="N3" s="68"/>
    </row>
    <row r="4" spans="1:14" x14ac:dyDescent="0.35">
      <c r="A4" s="87"/>
      <c r="B4" s="156" t="s">
        <v>68</v>
      </c>
      <c r="C4" s="166">
        <v>2026</v>
      </c>
      <c r="E4" s="236" t="s">
        <v>69</v>
      </c>
      <c r="F4" s="236"/>
      <c r="G4" s="236"/>
      <c r="H4" s="236"/>
      <c r="I4" s="236"/>
      <c r="J4" s="236"/>
      <c r="N4" s="68"/>
    </row>
    <row r="5" spans="1:14" x14ac:dyDescent="0.35">
      <c r="A5" s="87"/>
      <c r="B5" s="156" t="s">
        <v>70</v>
      </c>
      <c r="C5" s="166">
        <v>2021</v>
      </c>
      <c r="E5" s="237" t="s">
        <v>71</v>
      </c>
      <c r="F5" s="237"/>
      <c r="G5" s="237"/>
      <c r="H5" s="237"/>
      <c r="I5" s="237"/>
      <c r="J5" s="237"/>
      <c r="N5" s="68"/>
    </row>
    <row r="6" spans="1:14" x14ac:dyDescent="0.35">
      <c r="A6" s="87"/>
      <c r="B6" s="156" t="s">
        <v>72</v>
      </c>
      <c r="C6" s="166" t="s">
        <v>73</v>
      </c>
      <c r="N6" s="68"/>
    </row>
    <row r="7" spans="1:14" x14ac:dyDescent="0.35">
      <c r="A7" s="69"/>
      <c r="N7" s="68"/>
    </row>
    <row r="8" spans="1:14" x14ac:dyDescent="0.35">
      <c r="A8" s="69"/>
      <c r="N8" s="68"/>
    </row>
    <row r="9" spans="1:14" ht="18.5" x14ac:dyDescent="0.45">
      <c r="A9" s="187"/>
      <c r="B9" s="137" t="s">
        <v>74</v>
      </c>
      <c r="C9" s="188"/>
      <c r="D9" s="188"/>
      <c r="E9" s="188"/>
      <c r="F9" s="188"/>
      <c r="G9" s="188"/>
      <c r="H9" s="188"/>
      <c r="I9" s="188"/>
      <c r="J9" s="188"/>
      <c r="K9" s="188"/>
      <c r="L9" s="188"/>
      <c r="M9" s="188"/>
      <c r="N9" s="88"/>
    </row>
    <row r="10" spans="1:14" ht="15" thickBot="1" x14ac:dyDescent="0.4">
      <c r="A10" s="69"/>
      <c r="N10" s="68"/>
    </row>
    <row r="11" spans="1:14" ht="18.5" thickBot="1" x14ac:dyDescent="0.45">
      <c r="A11" s="69"/>
      <c r="B11" s="173" t="s">
        <v>75</v>
      </c>
      <c r="C11" s="172">
        <f>'Sensitivy Analysis'!C5</f>
        <v>0.1</v>
      </c>
      <c r="D11" s="185"/>
      <c r="E11" s="186" t="s">
        <v>87</v>
      </c>
      <c r="F11" s="184"/>
      <c r="G11" s="184"/>
      <c r="H11" s="184"/>
      <c r="I11" s="184"/>
      <c r="J11" s="184"/>
      <c r="K11" s="184"/>
      <c r="L11" s="184"/>
      <c r="M11" s="184"/>
      <c r="N11" s="100"/>
    </row>
    <row r="12" spans="1:14" ht="18.5" thickBot="1" x14ac:dyDescent="0.45">
      <c r="A12" s="69"/>
      <c r="B12" s="189"/>
      <c r="C12" s="189"/>
      <c r="D12" s="190"/>
      <c r="E12" s="186"/>
      <c r="F12" s="184"/>
      <c r="G12" s="184"/>
      <c r="H12" s="184"/>
      <c r="I12" s="184"/>
      <c r="J12" s="184"/>
      <c r="K12" s="184"/>
      <c r="L12" s="184"/>
      <c r="M12" s="184"/>
      <c r="N12" s="100"/>
    </row>
    <row r="13" spans="1:14" ht="18.5" thickBot="1" x14ac:dyDescent="0.45">
      <c r="A13" s="69"/>
      <c r="B13" s="173" t="s">
        <v>88</v>
      </c>
      <c r="C13" s="172" t="str">
        <f>'Sensitivy Analysis'!C9</f>
        <v>No</v>
      </c>
      <c r="D13" s="190">
        <f>IF(C13="No",0,1)</f>
        <v>0</v>
      </c>
      <c r="E13" s="186"/>
      <c r="F13" s="184"/>
      <c r="G13" s="184"/>
      <c r="H13" s="184"/>
      <c r="I13" s="184"/>
      <c r="J13" s="184"/>
      <c r="K13" s="184"/>
      <c r="L13" s="184"/>
      <c r="M13" s="184"/>
      <c r="N13" s="100"/>
    </row>
    <row r="14" spans="1:14" ht="18.5" thickBot="1" x14ac:dyDescent="0.45">
      <c r="A14" s="69"/>
      <c r="B14" s="189"/>
      <c r="C14" s="102"/>
      <c r="D14" s="185"/>
      <c r="E14" s="186"/>
      <c r="F14" s="184"/>
      <c r="G14" s="184"/>
      <c r="H14" s="184"/>
      <c r="I14" s="184"/>
      <c r="J14" s="184"/>
      <c r="K14" s="184"/>
      <c r="L14" s="184"/>
      <c r="M14" s="184"/>
      <c r="N14" s="100"/>
    </row>
    <row r="15" spans="1:14" ht="18.5" thickBot="1" x14ac:dyDescent="0.45">
      <c r="A15" s="69"/>
      <c r="B15" s="173" t="s">
        <v>90</v>
      </c>
      <c r="C15" s="172">
        <f>'Sensitivy Analysis'!C6</f>
        <v>0</v>
      </c>
      <c r="D15" s="190">
        <f>1+C15</f>
        <v>1</v>
      </c>
      <c r="E15" s="186"/>
      <c r="F15" s="184"/>
      <c r="G15" s="184"/>
      <c r="H15" s="184"/>
      <c r="I15" s="184"/>
      <c r="J15" s="184"/>
      <c r="K15" s="184"/>
      <c r="L15" s="184"/>
      <c r="M15" s="184"/>
      <c r="N15" s="100"/>
    </row>
    <row r="16" spans="1:14" ht="20.5" x14ac:dyDescent="0.45">
      <c r="A16" s="69"/>
      <c r="B16" s="191"/>
      <c r="C16" s="192"/>
      <c r="N16" s="68"/>
    </row>
    <row r="17" spans="1:14" ht="20.5" x14ac:dyDescent="0.45">
      <c r="A17" s="69"/>
      <c r="B17" s="234" t="s">
        <v>91</v>
      </c>
      <c r="C17" s="234"/>
      <c r="D17" s="234"/>
      <c r="E17" s="234"/>
      <c r="N17" s="68"/>
    </row>
    <row r="18" spans="1:14" ht="16" thickBot="1" x14ac:dyDescent="0.4">
      <c r="A18" s="69"/>
      <c r="B18" s="135" t="s">
        <v>92</v>
      </c>
      <c r="C18" s="5" t="s">
        <v>93</v>
      </c>
      <c r="D18" s="5" t="s">
        <v>94</v>
      </c>
      <c r="E18" s="5" t="s">
        <v>95</v>
      </c>
      <c r="F18" s="121" t="s">
        <v>96</v>
      </c>
      <c r="N18" s="68"/>
    </row>
    <row r="19" spans="1:14" ht="15" thickBot="1" x14ac:dyDescent="0.4">
      <c r="A19" s="69"/>
      <c r="B19" s="160" t="s">
        <v>97</v>
      </c>
      <c r="C19" s="162">
        <f>'Sensitivy Analysis'!C7</f>
        <v>135524.5</v>
      </c>
      <c r="D19" s="161" t="s">
        <v>98</v>
      </c>
      <c r="E19" s="120" t="s">
        <v>99</v>
      </c>
      <c r="F19" s="122" t="s">
        <v>100</v>
      </c>
      <c r="G19" t="s">
        <v>101</v>
      </c>
      <c r="N19" s="68"/>
    </row>
    <row r="20" spans="1:14" ht="15" thickBot="1" x14ac:dyDescent="0.4">
      <c r="A20" s="69"/>
      <c r="B20" s="124" t="s">
        <v>102</v>
      </c>
      <c r="C20" s="164">
        <f>C19/($E$53/$H$53)</f>
        <v>248877.86618945928</v>
      </c>
      <c r="D20" s="123"/>
      <c r="E20" s="123"/>
      <c r="F20" s="123"/>
      <c r="J20" s="193"/>
      <c r="K20" s="193"/>
      <c r="N20" s="68"/>
    </row>
    <row r="21" spans="1:14" s="98" customFormat="1" ht="15" thickBot="1" x14ac:dyDescent="0.4">
      <c r="A21" s="194"/>
      <c r="B21" s="160" t="s">
        <v>103</v>
      </c>
      <c r="C21" s="170">
        <f>'Sensitivy Analysis'!C8</f>
        <v>7.0000000000000007E-2</v>
      </c>
      <c r="D21" s="161" t="s">
        <v>104</v>
      </c>
      <c r="E21" s="159" t="s">
        <v>30</v>
      </c>
      <c r="F21" s="97" t="s">
        <v>105</v>
      </c>
      <c r="G21" t="s">
        <v>101</v>
      </c>
      <c r="H21"/>
      <c r="I21"/>
      <c r="N21" s="99"/>
    </row>
    <row r="22" spans="1:14" s="98" customFormat="1" ht="15" thickBot="1" x14ac:dyDescent="0.4">
      <c r="A22" s="194"/>
      <c r="B22" s="160" t="s">
        <v>106</v>
      </c>
      <c r="C22" s="171">
        <f>'Sensitivy Analysis'!C10</f>
        <v>40.5</v>
      </c>
      <c r="D22" s="161"/>
      <c r="E22" s="159" t="s">
        <v>30</v>
      </c>
      <c r="F22" s="97" t="s">
        <v>107</v>
      </c>
      <c r="G22" t="s">
        <v>101</v>
      </c>
      <c r="H22"/>
      <c r="I22"/>
      <c r="N22" s="99"/>
    </row>
    <row r="23" spans="1:14" x14ac:dyDescent="0.35">
      <c r="A23" s="69"/>
      <c r="B23" s="195"/>
      <c r="C23" s="195"/>
      <c r="D23" s="195"/>
      <c r="N23" s="68"/>
    </row>
    <row r="24" spans="1:14" x14ac:dyDescent="0.35">
      <c r="A24" s="69"/>
      <c r="N24" s="68"/>
    </row>
    <row r="25" spans="1:14" ht="18.5" x14ac:dyDescent="0.45">
      <c r="A25" s="187"/>
      <c r="B25" s="137" t="s">
        <v>108</v>
      </c>
      <c r="C25" s="188"/>
      <c r="D25" s="188"/>
      <c r="E25" s="188"/>
      <c r="F25" s="188"/>
      <c r="G25" s="188"/>
      <c r="H25" s="188"/>
      <c r="I25" s="188"/>
      <c r="J25" s="188"/>
      <c r="K25" s="188"/>
      <c r="L25" s="188"/>
      <c r="M25" s="188"/>
      <c r="N25" s="88"/>
    </row>
    <row r="26" spans="1:14" ht="18" x14ac:dyDescent="0.4">
      <c r="A26" s="69"/>
      <c r="B26" s="184"/>
      <c r="F26" s="91"/>
      <c r="N26" s="68"/>
    </row>
    <row r="27" spans="1:14" ht="15.5" x14ac:dyDescent="0.35">
      <c r="A27" s="69"/>
      <c r="B27" s="135" t="s">
        <v>109</v>
      </c>
      <c r="C27" s="9" t="s">
        <v>110</v>
      </c>
      <c r="D27" s="9" t="s">
        <v>111</v>
      </c>
      <c r="E27" s="1"/>
      <c r="F27" s="92"/>
      <c r="G27" s="1"/>
      <c r="H27" s="1"/>
      <c r="I27" s="1"/>
      <c r="J27" s="1"/>
      <c r="K27" s="1"/>
      <c r="L27" s="1"/>
      <c r="M27" s="1"/>
      <c r="N27" s="68"/>
    </row>
    <row r="28" spans="1:14" x14ac:dyDescent="0.35">
      <c r="A28" s="69"/>
      <c r="B28" s="116" t="s">
        <v>112</v>
      </c>
      <c r="C28" s="93">
        <f>$C$33/5</f>
        <v>1620</v>
      </c>
      <c r="D28" s="93"/>
      <c r="E28" s="1"/>
      <c r="F28" s="92"/>
      <c r="G28" s="1"/>
      <c r="H28" s="1"/>
      <c r="I28" s="1"/>
      <c r="J28" s="1"/>
      <c r="K28" s="1"/>
      <c r="L28" s="1"/>
      <c r="M28" s="1"/>
      <c r="N28" s="68"/>
    </row>
    <row r="29" spans="1:14" x14ac:dyDescent="0.35">
      <c r="A29" s="69"/>
      <c r="B29" s="116" t="s">
        <v>113</v>
      </c>
      <c r="C29" s="93">
        <f>$C$33/5</f>
        <v>1620</v>
      </c>
      <c r="D29" s="93"/>
      <c r="E29" s="1"/>
      <c r="F29" s="92"/>
      <c r="G29" s="1"/>
      <c r="H29" s="1"/>
      <c r="I29" s="1"/>
      <c r="J29" s="1"/>
      <c r="K29" s="1"/>
      <c r="L29" s="1"/>
      <c r="M29" s="1"/>
      <c r="N29" s="68"/>
    </row>
    <row r="30" spans="1:14" x14ac:dyDescent="0.35">
      <c r="A30" s="69"/>
      <c r="B30" s="116" t="s">
        <v>114</v>
      </c>
      <c r="C30" s="93">
        <f>$C$33/5</f>
        <v>1620</v>
      </c>
      <c r="D30" s="93"/>
      <c r="E30" s="1"/>
      <c r="F30" s="92"/>
      <c r="G30" s="1"/>
      <c r="H30" s="1"/>
      <c r="I30" s="1"/>
      <c r="J30" s="1"/>
      <c r="K30" s="1"/>
      <c r="L30" s="1"/>
      <c r="M30" s="1"/>
      <c r="N30" s="68"/>
    </row>
    <row r="31" spans="1:14" x14ac:dyDescent="0.35">
      <c r="A31" s="69"/>
      <c r="B31" s="116" t="s">
        <v>115</v>
      </c>
      <c r="C31" s="93">
        <f>$C$33/5</f>
        <v>1620</v>
      </c>
      <c r="D31" s="93"/>
      <c r="E31" s="196"/>
      <c r="F31" s="92"/>
      <c r="G31" s="1"/>
      <c r="H31" s="1"/>
      <c r="I31" s="1"/>
      <c r="J31" s="1"/>
      <c r="K31" s="1"/>
      <c r="L31" s="1"/>
      <c r="M31" s="1"/>
      <c r="N31" s="68"/>
    </row>
    <row r="32" spans="1:14" x14ac:dyDescent="0.35">
      <c r="A32" s="69"/>
      <c r="B32" s="116" t="s">
        <v>116</v>
      </c>
      <c r="C32" s="93">
        <f>$C$33/5</f>
        <v>1620</v>
      </c>
      <c r="D32" s="93"/>
      <c r="E32" s="1"/>
      <c r="F32" s="92"/>
      <c r="G32" s="1"/>
      <c r="H32" s="1"/>
      <c r="I32" s="1"/>
      <c r="J32" s="1"/>
      <c r="K32" s="1"/>
      <c r="L32" s="1"/>
      <c r="M32" s="1"/>
      <c r="N32" s="68"/>
    </row>
    <row r="33" spans="1:14" x14ac:dyDescent="0.35">
      <c r="A33" s="69"/>
      <c r="B33" s="116" t="s">
        <v>117</v>
      </c>
      <c r="C33" s="6">
        <v>8100</v>
      </c>
      <c r="D33" s="94">
        <f>SUM(D28:D32)</f>
        <v>0</v>
      </c>
      <c r="E33" s="1"/>
      <c r="F33" s="92"/>
      <c r="G33" s="1"/>
      <c r="H33" s="1"/>
      <c r="I33" s="1"/>
      <c r="J33" s="1"/>
      <c r="K33" s="1"/>
      <c r="L33" s="1"/>
      <c r="M33" s="1"/>
      <c r="N33" s="68"/>
    </row>
    <row r="34" spans="1:14" x14ac:dyDescent="0.35">
      <c r="A34" s="69"/>
      <c r="B34" s="195"/>
      <c r="C34" s="1"/>
      <c r="D34" s="1"/>
      <c r="E34" s="1"/>
      <c r="F34" s="95"/>
      <c r="G34" s="1"/>
      <c r="H34" s="1"/>
      <c r="I34" s="1"/>
      <c r="J34" s="1"/>
      <c r="K34" s="1"/>
      <c r="L34" s="1"/>
      <c r="M34" s="1"/>
      <c r="N34" s="68"/>
    </row>
    <row r="35" spans="1:14" s="130" customFormat="1" ht="15.5" customHeight="1" x14ac:dyDescent="0.35">
      <c r="A35" s="197"/>
      <c r="B35" s="232" t="s">
        <v>118</v>
      </c>
      <c r="C35" s="126" t="s">
        <v>119</v>
      </c>
      <c r="D35" s="127"/>
      <c r="E35" s="127"/>
      <c r="F35" s="128" t="s">
        <v>120</v>
      </c>
      <c r="G35" s="127"/>
      <c r="H35" s="127"/>
      <c r="I35" s="127"/>
      <c r="J35" s="127"/>
      <c r="K35" s="127"/>
      <c r="L35" s="127"/>
      <c r="M35" s="129"/>
      <c r="N35" s="131"/>
    </row>
    <row r="36" spans="1:14" s="130" customFormat="1" ht="15.5" x14ac:dyDescent="0.35">
      <c r="A36" s="197"/>
      <c r="B36" s="233"/>
      <c r="C36" s="132">
        <v>2026</v>
      </c>
      <c r="D36" s="132">
        <v>2027</v>
      </c>
      <c r="E36" s="132">
        <v>2028</v>
      </c>
      <c r="F36" s="132">
        <v>2029</v>
      </c>
      <c r="G36" s="132">
        <v>2030</v>
      </c>
      <c r="H36" s="132">
        <v>2031</v>
      </c>
      <c r="I36" s="132">
        <v>2032</v>
      </c>
      <c r="J36" s="132">
        <v>2033</v>
      </c>
      <c r="K36" s="132">
        <v>2034</v>
      </c>
      <c r="L36" s="133">
        <v>2035</v>
      </c>
      <c r="M36" s="132">
        <v>2036</v>
      </c>
      <c r="N36" s="131"/>
    </row>
    <row r="37" spans="1:14" x14ac:dyDescent="0.35">
      <c r="A37" s="69"/>
      <c r="B37" s="116">
        <v>1</v>
      </c>
      <c r="C37" s="96">
        <f>C28+C29</f>
        <v>3240</v>
      </c>
      <c r="D37" s="96">
        <f>C30+C31+C32</f>
        <v>4860</v>
      </c>
      <c r="E37" s="96">
        <v>0</v>
      </c>
      <c r="F37" s="93">
        <v>0</v>
      </c>
      <c r="G37" s="93">
        <v>0</v>
      </c>
      <c r="H37" s="93">
        <v>0</v>
      </c>
      <c r="I37" s="93">
        <v>0</v>
      </c>
      <c r="J37" s="93">
        <v>0</v>
      </c>
      <c r="K37" s="93">
        <v>0</v>
      </c>
      <c r="L37" s="93">
        <v>0</v>
      </c>
      <c r="M37" s="93">
        <v>0</v>
      </c>
      <c r="N37" s="68"/>
    </row>
    <row r="38" spans="1:14" x14ac:dyDescent="0.35">
      <c r="A38" s="69"/>
      <c r="B38" s="116">
        <v>2</v>
      </c>
      <c r="C38" s="96">
        <v>0</v>
      </c>
      <c r="D38" s="96">
        <f t="shared" ref="D38:M38" si="0">C37</f>
        <v>3240</v>
      </c>
      <c r="E38" s="96">
        <f t="shared" si="0"/>
        <v>4860</v>
      </c>
      <c r="F38" s="93">
        <f t="shared" si="0"/>
        <v>0</v>
      </c>
      <c r="G38" s="93">
        <f t="shared" si="0"/>
        <v>0</v>
      </c>
      <c r="H38" s="93">
        <f t="shared" si="0"/>
        <v>0</v>
      </c>
      <c r="I38" s="93">
        <f t="shared" si="0"/>
        <v>0</v>
      </c>
      <c r="J38" s="93">
        <f t="shared" si="0"/>
        <v>0</v>
      </c>
      <c r="K38" s="93">
        <f t="shared" si="0"/>
        <v>0</v>
      </c>
      <c r="L38" s="93">
        <f t="shared" si="0"/>
        <v>0</v>
      </c>
      <c r="M38" s="93">
        <f t="shared" si="0"/>
        <v>0</v>
      </c>
      <c r="N38" s="68"/>
    </row>
    <row r="39" spans="1:14" x14ac:dyDescent="0.35">
      <c r="A39" s="69"/>
      <c r="B39" s="116">
        <v>3</v>
      </c>
      <c r="C39" s="96">
        <v>0</v>
      </c>
      <c r="D39" s="96">
        <f>D32</f>
        <v>0</v>
      </c>
      <c r="E39" s="96">
        <f t="shared" ref="E39:M39" si="1">D38</f>
        <v>3240</v>
      </c>
      <c r="F39" s="93">
        <f t="shared" si="1"/>
        <v>4860</v>
      </c>
      <c r="G39" s="93">
        <f t="shared" si="1"/>
        <v>0</v>
      </c>
      <c r="H39" s="93">
        <f t="shared" si="1"/>
        <v>0</v>
      </c>
      <c r="I39" s="93">
        <f t="shared" si="1"/>
        <v>0</v>
      </c>
      <c r="J39" s="93">
        <f t="shared" si="1"/>
        <v>0</v>
      </c>
      <c r="K39" s="93">
        <f t="shared" si="1"/>
        <v>0</v>
      </c>
      <c r="L39" s="93">
        <f t="shared" si="1"/>
        <v>0</v>
      </c>
      <c r="M39" s="93">
        <f t="shared" si="1"/>
        <v>0</v>
      </c>
      <c r="N39" s="68"/>
    </row>
    <row r="40" spans="1:14" x14ac:dyDescent="0.35">
      <c r="A40" s="69"/>
      <c r="B40" s="116">
        <v>4</v>
      </c>
      <c r="C40" s="96">
        <v>0</v>
      </c>
      <c r="D40" s="96">
        <f>D33</f>
        <v>0</v>
      </c>
      <c r="E40" s="96">
        <f>E33</f>
        <v>0</v>
      </c>
      <c r="F40" s="93">
        <f t="shared" ref="F40:M40" si="2">E39</f>
        <v>3240</v>
      </c>
      <c r="G40" s="93">
        <f t="shared" si="2"/>
        <v>4860</v>
      </c>
      <c r="H40" s="93">
        <f t="shared" si="2"/>
        <v>0</v>
      </c>
      <c r="I40" s="93">
        <f t="shared" si="2"/>
        <v>0</v>
      </c>
      <c r="J40" s="93">
        <f t="shared" si="2"/>
        <v>0</v>
      </c>
      <c r="K40" s="93">
        <f t="shared" si="2"/>
        <v>0</v>
      </c>
      <c r="L40" s="93">
        <f t="shared" si="2"/>
        <v>0</v>
      </c>
      <c r="M40" s="93">
        <f t="shared" si="2"/>
        <v>0</v>
      </c>
      <c r="N40" s="68"/>
    </row>
    <row r="41" spans="1:14" x14ac:dyDescent="0.35">
      <c r="A41" s="69"/>
      <c r="B41" s="116">
        <v>5</v>
      </c>
      <c r="C41" s="96">
        <f>C34</f>
        <v>0</v>
      </c>
      <c r="D41" s="96">
        <f>D34</f>
        <v>0</v>
      </c>
      <c r="E41" s="96">
        <f>E34</f>
        <v>0</v>
      </c>
      <c r="F41" s="93">
        <f>F34</f>
        <v>0</v>
      </c>
      <c r="G41" s="93">
        <f t="shared" ref="G41:M41" si="3">F40</f>
        <v>3240</v>
      </c>
      <c r="H41" s="93">
        <f t="shared" si="3"/>
        <v>4860</v>
      </c>
      <c r="I41" s="93">
        <f t="shared" si="3"/>
        <v>0</v>
      </c>
      <c r="J41" s="93">
        <f t="shared" si="3"/>
        <v>0</v>
      </c>
      <c r="K41" s="93">
        <f t="shared" si="3"/>
        <v>0</v>
      </c>
      <c r="L41" s="93">
        <f t="shared" si="3"/>
        <v>0</v>
      </c>
      <c r="M41" s="93">
        <f t="shared" si="3"/>
        <v>0</v>
      </c>
      <c r="N41" s="68"/>
    </row>
    <row r="42" spans="1:14" x14ac:dyDescent="0.35">
      <c r="A42" s="69"/>
      <c r="B42" s="116">
        <v>6</v>
      </c>
      <c r="C42" s="96">
        <v>0</v>
      </c>
      <c r="D42" s="96">
        <v>0</v>
      </c>
      <c r="E42" s="96">
        <v>0</v>
      </c>
      <c r="F42" s="93">
        <v>0</v>
      </c>
      <c r="G42" s="93">
        <v>0</v>
      </c>
      <c r="H42" s="93">
        <f t="shared" ref="H42:M42" si="4">G41</f>
        <v>3240</v>
      </c>
      <c r="I42" s="93">
        <f t="shared" si="4"/>
        <v>4860</v>
      </c>
      <c r="J42" s="93">
        <f t="shared" si="4"/>
        <v>0</v>
      </c>
      <c r="K42" s="93">
        <f t="shared" si="4"/>
        <v>0</v>
      </c>
      <c r="L42" s="93">
        <f t="shared" si="4"/>
        <v>0</v>
      </c>
      <c r="M42" s="93">
        <f t="shared" si="4"/>
        <v>0</v>
      </c>
      <c r="N42" s="68"/>
    </row>
    <row r="43" spans="1:14" x14ac:dyDescent="0.35">
      <c r="A43" s="69"/>
      <c r="B43" s="116">
        <v>7</v>
      </c>
      <c r="C43" s="96">
        <v>0</v>
      </c>
      <c r="D43" s="96">
        <v>0</v>
      </c>
      <c r="E43" s="96">
        <v>0</v>
      </c>
      <c r="F43" s="93">
        <v>0</v>
      </c>
      <c r="G43" s="93">
        <v>0</v>
      </c>
      <c r="H43" s="93">
        <v>0</v>
      </c>
      <c r="I43" s="93">
        <f>H42</f>
        <v>3240</v>
      </c>
      <c r="J43" s="93">
        <f>I42</f>
        <v>4860</v>
      </c>
      <c r="K43" s="93">
        <f>J42</f>
        <v>0</v>
      </c>
      <c r="L43" s="93">
        <f>K42</f>
        <v>0</v>
      </c>
      <c r="M43" s="93">
        <f>L42</f>
        <v>0</v>
      </c>
      <c r="N43" s="68"/>
    </row>
    <row r="44" spans="1:14" x14ac:dyDescent="0.35">
      <c r="A44" s="69"/>
      <c r="B44" s="116">
        <v>8</v>
      </c>
      <c r="C44" s="96">
        <v>0</v>
      </c>
      <c r="D44" s="96">
        <v>0</v>
      </c>
      <c r="E44" s="96">
        <v>0</v>
      </c>
      <c r="F44" s="93">
        <v>0</v>
      </c>
      <c r="G44" s="93">
        <v>0</v>
      </c>
      <c r="H44" s="93">
        <v>0</v>
      </c>
      <c r="I44" s="93">
        <v>0</v>
      </c>
      <c r="J44" s="93">
        <f>I43</f>
        <v>3240</v>
      </c>
      <c r="K44" s="93">
        <f>J43</f>
        <v>4860</v>
      </c>
      <c r="L44" s="93">
        <f>K43</f>
        <v>0</v>
      </c>
      <c r="M44" s="93">
        <f>L43</f>
        <v>0</v>
      </c>
      <c r="N44" s="68"/>
    </row>
    <row r="45" spans="1:14" x14ac:dyDescent="0.35">
      <c r="A45" s="69"/>
      <c r="B45" s="116">
        <v>9</v>
      </c>
      <c r="C45" s="96">
        <v>0</v>
      </c>
      <c r="D45" s="96">
        <v>0</v>
      </c>
      <c r="E45" s="96">
        <v>0</v>
      </c>
      <c r="F45" s="93">
        <v>0</v>
      </c>
      <c r="G45" s="93">
        <v>0</v>
      </c>
      <c r="H45" s="93">
        <v>0</v>
      </c>
      <c r="I45" s="93">
        <v>0</v>
      </c>
      <c r="J45" s="93">
        <v>0</v>
      </c>
      <c r="K45" s="93">
        <f>J44</f>
        <v>3240</v>
      </c>
      <c r="L45" s="93">
        <f>K44</f>
        <v>4860</v>
      </c>
      <c r="M45" s="93">
        <f>L44</f>
        <v>0</v>
      </c>
      <c r="N45" s="68"/>
    </row>
    <row r="46" spans="1:14" x14ac:dyDescent="0.35">
      <c r="A46" s="69"/>
      <c r="B46" s="116">
        <v>10</v>
      </c>
      <c r="C46" s="96">
        <v>0</v>
      </c>
      <c r="D46" s="96">
        <v>0</v>
      </c>
      <c r="E46" s="96">
        <v>0</v>
      </c>
      <c r="F46" s="93">
        <v>0</v>
      </c>
      <c r="G46" s="93">
        <v>0</v>
      </c>
      <c r="H46" s="93">
        <v>0</v>
      </c>
      <c r="I46" s="93">
        <v>0</v>
      </c>
      <c r="J46" s="93">
        <v>0</v>
      </c>
      <c r="K46" s="93">
        <v>0</v>
      </c>
      <c r="L46" s="93">
        <f>K45</f>
        <v>3240</v>
      </c>
      <c r="M46" s="93">
        <f>L45</f>
        <v>4860</v>
      </c>
      <c r="N46" s="68"/>
    </row>
    <row r="47" spans="1:14" x14ac:dyDescent="0.35">
      <c r="A47" s="69"/>
      <c r="N47" s="68"/>
    </row>
    <row r="48" spans="1:14" x14ac:dyDescent="0.35">
      <c r="A48" s="69"/>
      <c r="N48" s="68"/>
    </row>
    <row r="49" spans="1:14" ht="18" x14ac:dyDescent="0.4">
      <c r="A49" s="12"/>
      <c r="B49" s="137" t="s">
        <v>76</v>
      </c>
      <c r="C49" s="7"/>
      <c r="D49" s="7"/>
      <c r="E49" s="7"/>
      <c r="F49" s="7"/>
      <c r="G49" s="7"/>
      <c r="H49" s="7"/>
      <c r="I49" s="7"/>
      <c r="J49" s="7"/>
      <c r="K49" s="7"/>
      <c r="L49" s="7"/>
      <c r="M49" s="7"/>
      <c r="N49" s="70"/>
    </row>
    <row r="50" spans="1:14" x14ac:dyDescent="0.35">
      <c r="A50" s="69"/>
      <c r="N50" s="68"/>
    </row>
    <row r="51" spans="1:14" ht="15.5" x14ac:dyDescent="0.35">
      <c r="A51" s="69"/>
      <c r="B51" s="198" t="s">
        <v>77</v>
      </c>
      <c r="N51" s="68"/>
    </row>
    <row r="52" spans="1:14" x14ac:dyDescent="0.35">
      <c r="A52" s="69"/>
      <c r="B52" s="150" t="s">
        <v>78</v>
      </c>
      <c r="C52" s="168">
        <v>2021</v>
      </c>
      <c r="D52" s="168">
        <v>2022</v>
      </c>
      <c r="E52" s="168">
        <v>2023</v>
      </c>
      <c r="F52" s="168">
        <v>2024</v>
      </c>
      <c r="G52" s="168">
        <v>2025</v>
      </c>
      <c r="H52" s="168">
        <v>2026</v>
      </c>
      <c r="I52" s="168">
        <v>2027</v>
      </c>
      <c r="J52" s="168">
        <v>2028</v>
      </c>
      <c r="N52" s="68"/>
    </row>
    <row r="53" spans="1:14" x14ac:dyDescent="0.35">
      <c r="A53" s="69"/>
      <c r="B53" s="151" t="s">
        <v>79</v>
      </c>
      <c r="C53" s="181">
        <v>205.33099999999999</v>
      </c>
      <c r="D53" s="181">
        <v>273.80799999999999</v>
      </c>
      <c r="E53" s="181">
        <v>361.96699999999998</v>
      </c>
      <c r="F53" s="181">
        <v>451.31900000000002</v>
      </c>
      <c r="G53" s="155">
        <v>558.38199999999995</v>
      </c>
      <c r="H53" s="155">
        <v>664.71799999999996</v>
      </c>
      <c r="I53" s="155">
        <v>751.48199999999997</v>
      </c>
      <c r="J53" s="155">
        <v>840.68700000000001</v>
      </c>
      <c r="N53" s="68"/>
    </row>
    <row r="54" spans="1:14" x14ac:dyDescent="0.35">
      <c r="A54" s="69"/>
      <c r="B54" s="151" t="s">
        <v>80</v>
      </c>
      <c r="C54" s="181">
        <v>102.80500000000001</v>
      </c>
      <c r="D54" s="181">
        <v>109.071</v>
      </c>
      <c r="E54" s="181">
        <v>115.768</v>
      </c>
      <c r="F54" s="181">
        <v>119.355</v>
      </c>
      <c r="G54" s="155">
        <v>122.208</v>
      </c>
      <c r="H54" s="155">
        <v>124.669</v>
      </c>
      <c r="I54" s="155">
        <v>127.31100000000001</v>
      </c>
      <c r="J54" s="155">
        <v>130.05199999999999</v>
      </c>
      <c r="N54" s="68"/>
    </row>
    <row r="55" spans="1:14" x14ac:dyDescent="0.35">
      <c r="A55" s="69"/>
      <c r="B55" s="151" t="s">
        <v>81</v>
      </c>
      <c r="C55" s="181">
        <v>110.172</v>
      </c>
      <c r="D55" s="181">
        <v>118.026</v>
      </c>
      <c r="E55" s="181">
        <v>122.274</v>
      </c>
      <c r="F55" s="181">
        <v>125.23</v>
      </c>
      <c r="G55" s="155">
        <v>128.55699999999999</v>
      </c>
      <c r="H55" s="155">
        <v>131.36600000000001</v>
      </c>
      <c r="I55" s="155">
        <v>133.78399999999999</v>
      </c>
      <c r="J55" s="155">
        <v>136.57400000000001</v>
      </c>
      <c r="N55" s="68"/>
    </row>
    <row r="56" spans="1:14" x14ac:dyDescent="0.35">
      <c r="A56" s="69"/>
      <c r="B56" s="153" t="s">
        <v>82</v>
      </c>
      <c r="N56" s="68"/>
    </row>
    <row r="57" spans="1:14" x14ac:dyDescent="0.35">
      <c r="A57" s="69"/>
      <c r="B57" s="1"/>
      <c r="N57" s="68"/>
    </row>
    <row r="58" spans="1:14" ht="15.5" x14ac:dyDescent="0.35">
      <c r="A58" s="69"/>
      <c r="B58" s="198" t="s">
        <v>83</v>
      </c>
      <c r="N58" s="68"/>
    </row>
    <row r="59" spans="1:14" x14ac:dyDescent="0.35">
      <c r="A59" s="69"/>
      <c r="B59" s="152" t="s">
        <v>78</v>
      </c>
      <c r="C59" s="169">
        <v>2021</v>
      </c>
      <c r="D59" s="199"/>
      <c r="N59" s="68"/>
    </row>
    <row r="60" spans="1:14" x14ac:dyDescent="0.35">
      <c r="A60" s="69"/>
      <c r="B60" s="2" t="s">
        <v>84</v>
      </c>
      <c r="C60" s="125">
        <v>1.9400000000000001E-2</v>
      </c>
      <c r="D60" s="200"/>
      <c r="N60" s="68"/>
    </row>
    <row r="61" spans="1:14" x14ac:dyDescent="0.35">
      <c r="A61" s="69"/>
      <c r="B61" s="2" t="s">
        <v>85</v>
      </c>
      <c r="C61" s="167">
        <v>0.84589999999999999</v>
      </c>
      <c r="N61" s="68"/>
    </row>
    <row r="62" spans="1:14" x14ac:dyDescent="0.35">
      <c r="A62" s="69"/>
      <c r="B62" s="201" t="s">
        <v>86</v>
      </c>
      <c r="C62" s="202"/>
      <c r="N62" s="68"/>
    </row>
    <row r="63" spans="1:14" ht="13.5" customHeight="1" x14ac:dyDescent="0.35">
      <c r="A63" s="69"/>
      <c r="B63" s="201"/>
      <c r="C63" s="202"/>
      <c r="N63" s="68"/>
    </row>
    <row r="64" spans="1:14" x14ac:dyDescent="0.35">
      <c r="A64" s="71"/>
      <c r="B64" s="154" t="s">
        <v>60</v>
      </c>
      <c r="C64" s="72"/>
      <c r="D64" s="72"/>
      <c r="E64" s="72"/>
      <c r="F64" s="72"/>
      <c r="G64" s="72"/>
      <c r="H64" s="72"/>
      <c r="I64" s="72"/>
      <c r="J64" s="72"/>
      <c r="K64" s="72"/>
      <c r="L64" s="72"/>
      <c r="M64" s="72"/>
      <c r="N64" s="73"/>
    </row>
    <row r="74" ht="6.5" customHeight="1" x14ac:dyDescent="0.35"/>
  </sheetData>
  <mergeCells count="5">
    <mergeCell ref="B35:B36"/>
    <mergeCell ref="B17:E17"/>
    <mergeCell ref="E3:J3"/>
    <mergeCell ref="E4:J4"/>
    <mergeCell ref="E5:J5"/>
  </mergeCells>
  <conditionalFormatting sqref="B27:D27">
    <cfRule type="cellIs" dxfId="6" priority="2" operator="lessThan">
      <formula>0</formula>
    </cfRule>
  </conditionalFormatting>
  <conditionalFormatting sqref="B18:F18">
    <cfRule type="cellIs" dxfId="5" priority="1" operator="lessThan">
      <formula>0</formula>
    </cfRule>
  </conditionalFormatting>
  <hyperlinks>
    <hyperlink ref="B62" r:id="rId1" xr:uid="{0390BA38-43DB-42AB-A081-75858E0591C2}"/>
    <hyperlink ref="B56" r:id="rId2" xr:uid="{1CEACAB3-A9FC-488F-BA74-F76939C2A8D6}"/>
  </hyperlinks>
  <pageMargins left="0.7" right="0.7" top="0.75" bottom="0.75" header="0.3" footer="0.3"/>
  <pageSetup paperSize="9" orientation="portrait" horizontalDpi="1200" verticalDpi="1200"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O42"/>
  <sheetViews>
    <sheetView showGridLines="0" zoomScale="53" zoomScaleNormal="106" workbookViewId="0">
      <selection activeCell="B38" sqref="B38"/>
    </sheetView>
  </sheetViews>
  <sheetFormatPr baseColWidth="10" defaultColWidth="11.453125" defaultRowHeight="14.5" x14ac:dyDescent="0.35"/>
  <cols>
    <col min="1" max="1" width="3.26953125" customWidth="1"/>
    <col min="2" max="2" width="63" customWidth="1"/>
    <col min="3" max="3" width="51.7265625" customWidth="1"/>
    <col min="4" max="4" width="24" customWidth="1"/>
    <col min="5" max="5" width="18" customWidth="1"/>
    <col min="6" max="6" width="18.453125" customWidth="1"/>
    <col min="7" max="7" width="22.453125" customWidth="1"/>
    <col min="8" max="8" width="17.453125" customWidth="1"/>
    <col min="9" max="9" width="21.54296875" customWidth="1"/>
    <col min="10" max="10" width="21" customWidth="1"/>
    <col min="11" max="11" width="17.453125" customWidth="1"/>
    <col min="12" max="12" width="19.453125" customWidth="1"/>
    <col min="13" max="13" width="20.453125" customWidth="1"/>
    <col min="14" max="14" width="18.453125" customWidth="1"/>
    <col min="15" max="15" width="15.453125" customWidth="1"/>
  </cols>
  <sheetData>
    <row r="1" spans="1:15" ht="18" x14ac:dyDescent="0.4">
      <c r="A1" s="104"/>
      <c r="B1" s="137" t="s">
        <v>158</v>
      </c>
      <c r="C1" s="104"/>
      <c r="D1" s="105"/>
      <c r="E1" s="106"/>
      <c r="F1" s="7"/>
      <c r="G1" s="7"/>
      <c r="H1" s="7"/>
      <c r="I1" s="7"/>
      <c r="J1" s="7"/>
      <c r="K1" s="7"/>
      <c r="L1" s="7"/>
      <c r="M1" s="7"/>
      <c r="N1" s="7"/>
      <c r="O1" s="70"/>
    </row>
    <row r="2" spans="1:15" ht="18.5" x14ac:dyDescent="0.45">
      <c r="B2" s="134"/>
      <c r="O2" s="68"/>
    </row>
    <row r="3" spans="1:15" s="1" customFormat="1" ht="15.5" x14ac:dyDescent="0.35">
      <c r="B3" s="136" t="s">
        <v>78</v>
      </c>
      <c r="C3" s="135"/>
      <c r="D3" s="136">
        <v>1</v>
      </c>
      <c r="E3" s="136">
        <v>2</v>
      </c>
      <c r="F3" s="136">
        <v>3</v>
      </c>
      <c r="G3" s="136">
        <v>4</v>
      </c>
      <c r="H3" s="136">
        <v>5</v>
      </c>
      <c r="I3" s="136">
        <v>6</v>
      </c>
      <c r="J3" s="136">
        <v>7</v>
      </c>
      <c r="K3" s="136">
        <v>8</v>
      </c>
      <c r="L3" s="136">
        <v>9</v>
      </c>
      <c r="M3" s="136">
        <v>10</v>
      </c>
      <c r="N3"/>
      <c r="O3" s="74"/>
    </row>
    <row r="4" spans="1:15" s="3" customFormat="1" x14ac:dyDescent="0.35">
      <c r="B4" s="240" t="s">
        <v>121</v>
      </c>
      <c r="C4" s="2" t="s">
        <v>122</v>
      </c>
      <c r="D4" s="182">
        <f>'Model input'!$C$20*'Model input'!$C$21</f>
        <v>17421.450633262149</v>
      </c>
      <c r="E4" s="182">
        <f>'Model input'!$C$20*'Model input'!$C$21</f>
        <v>17421.450633262149</v>
      </c>
      <c r="F4" s="182">
        <f>'Model input'!$C$20*'Model input'!$C$21</f>
        <v>17421.450633262149</v>
      </c>
      <c r="G4" s="182">
        <f>'Model input'!$C$20*'Model input'!$C$21</f>
        <v>17421.450633262149</v>
      </c>
      <c r="H4" s="182">
        <f>'Model input'!$C$20*'Model input'!$C$21</f>
        <v>17421.450633262149</v>
      </c>
      <c r="I4" s="182">
        <f>'Model input'!$C$20*'Model input'!$C$21</f>
        <v>17421.450633262149</v>
      </c>
      <c r="J4" s="182">
        <f>'Model input'!$C$20*'Model input'!$C$21</f>
        <v>17421.450633262149</v>
      </c>
      <c r="K4" s="182">
        <f>'Model input'!$C$20*'Model input'!$C$21</f>
        <v>17421.450633262149</v>
      </c>
      <c r="L4" s="182">
        <f>'Model input'!$C$20*'Model input'!$C$21</f>
        <v>17421.450633262149</v>
      </c>
      <c r="M4" s="182">
        <f>'Model input'!$C$20*'Model input'!$C$21</f>
        <v>17421.450633262149</v>
      </c>
      <c r="N4"/>
      <c r="O4" s="75"/>
    </row>
    <row r="5" spans="1:15" s="3" customFormat="1" x14ac:dyDescent="0.35">
      <c r="B5" s="241"/>
      <c r="C5" s="2" t="s">
        <v>123</v>
      </c>
      <c r="D5" s="157">
        <f>D4/(1+'Model input'!$C$11)^(D$3-1)</f>
        <v>17421.450633262149</v>
      </c>
      <c r="E5" s="157">
        <f>E4/(1+'Model input'!$C$11)^(E$3-1)</f>
        <v>15837.68239387468</v>
      </c>
      <c r="F5" s="157">
        <f>F4/(1+'Model input'!$C$11)^(F$3-1)</f>
        <v>14397.893085340616</v>
      </c>
      <c r="G5" s="157">
        <f>G4/(1+'Model input'!$C$11)^(G$3-1)</f>
        <v>13088.993713946014</v>
      </c>
      <c r="H5" s="157">
        <f>H4/(1+'Model input'!$C$11)^(H$3-1)</f>
        <v>11899.085194496376</v>
      </c>
      <c r="I5" s="157">
        <f>I4/(1+'Model input'!$C$11)^(I$3-1)</f>
        <v>10817.350176814887</v>
      </c>
      <c r="J5" s="157">
        <f>J4/(1+'Model input'!$C$11)^(J$3-1)</f>
        <v>9833.9547061953508</v>
      </c>
      <c r="K5" s="157">
        <f>K4/(1+'Model input'!$C$11)^(K$3-1)</f>
        <v>8939.9588238139531</v>
      </c>
      <c r="L5" s="157">
        <f>L4/(1+'Model input'!$C$11)^(L$3-1)</f>
        <v>8127.2352943763226</v>
      </c>
      <c r="M5" s="157">
        <f>M4/(1+'Model input'!$C$11)^(M$3-1)</f>
        <v>7388.3957221602923</v>
      </c>
      <c r="N5"/>
      <c r="O5" s="75"/>
    </row>
    <row r="6" spans="1:15" s="3" customFormat="1" x14ac:dyDescent="0.35">
      <c r="B6" s="241"/>
      <c r="C6" s="2" t="s">
        <v>124</v>
      </c>
      <c r="D6" s="157">
        <f>D5/('Model input'!$H$53/'Model input'!$C$53)</f>
        <v>5381.4758739470726</v>
      </c>
      <c r="E6" s="157">
        <f>E5/('Model input'!$H$53/'Model input'!$C$53)</f>
        <v>4892.2507944973386</v>
      </c>
      <c r="F6" s="157">
        <f>F5/('Model input'!$H$53/'Model input'!$C$53)</f>
        <v>4447.5007222703071</v>
      </c>
      <c r="G6" s="157">
        <f>G5/('Model input'!$H$53/'Model input'!$C$53)</f>
        <v>4043.1824747911878</v>
      </c>
      <c r="H6" s="157">
        <f>H5/('Model input'!$H$53/'Model input'!$C$53)</f>
        <v>3675.6204316283524</v>
      </c>
      <c r="I6" s="157">
        <f>I5/('Model input'!$H$53/'Model input'!$C$53)</f>
        <v>3341.4731196621387</v>
      </c>
      <c r="J6" s="157">
        <f>J5/('Model input'!$H$53/'Model input'!$C$53)</f>
        <v>3037.7028360564891</v>
      </c>
      <c r="K6" s="157">
        <f>K5/('Model input'!$H$53/'Model input'!$C$53)</f>
        <v>2761.5480327786258</v>
      </c>
      <c r="L6" s="157">
        <f>L5/('Model input'!$H$53/'Model input'!$C$53)</f>
        <v>2510.4982116169331</v>
      </c>
      <c r="M6" s="157">
        <f>M5/('Model input'!$H$53/'Model input'!$C$53)</f>
        <v>2282.2711014699389</v>
      </c>
      <c r="N6"/>
      <c r="O6" s="75"/>
    </row>
    <row r="7" spans="1:15" s="3" customFormat="1" x14ac:dyDescent="0.35">
      <c r="B7" s="242"/>
      <c r="C7" s="2" t="s">
        <v>125</v>
      </c>
      <c r="D7" s="157">
        <f>D6*'Model input'!$C$60</f>
        <v>104.40063195457321</v>
      </c>
      <c r="E7" s="157">
        <f>E6*'Model input'!$C$60</f>
        <v>94.909665413248376</v>
      </c>
      <c r="F7" s="157">
        <f>F6*'Model input'!$C$60</f>
        <v>86.281514012043957</v>
      </c>
      <c r="G7" s="157">
        <f>G6*'Model input'!$C$60</f>
        <v>78.437740010949042</v>
      </c>
      <c r="H7" s="157">
        <f>H6*'Model input'!$C$60</f>
        <v>71.307036373590037</v>
      </c>
      <c r="I7" s="157">
        <f>I6*'Model input'!$C$60</f>
        <v>64.824578521445488</v>
      </c>
      <c r="J7" s="157">
        <f>J6*'Model input'!$C$60</f>
        <v>58.931435019495893</v>
      </c>
      <c r="K7" s="157">
        <f>K6*'Model input'!$C$60</f>
        <v>53.574031835905345</v>
      </c>
      <c r="L7" s="157">
        <f>L6*'Model input'!$C$60</f>
        <v>48.703665305368503</v>
      </c>
      <c r="M7" s="157">
        <f>M6*'Model input'!$C$60</f>
        <v>44.276059368516819</v>
      </c>
      <c r="N7"/>
      <c r="O7" s="75"/>
    </row>
    <row r="8" spans="1:15" s="3" customFormat="1" x14ac:dyDescent="0.35">
      <c r="B8" s="240" t="s">
        <v>126</v>
      </c>
      <c r="C8" s="2" t="s">
        <v>127</v>
      </c>
      <c r="D8" s="157">
        <f>'Model input'!C22*'Model input'!D13</f>
        <v>0</v>
      </c>
      <c r="E8" s="157">
        <v>0</v>
      </c>
      <c r="F8" s="157">
        <v>0</v>
      </c>
      <c r="G8" s="157">
        <v>0</v>
      </c>
      <c r="H8" s="157">
        <v>0</v>
      </c>
      <c r="I8" s="157">
        <v>0</v>
      </c>
      <c r="J8" s="157">
        <v>0</v>
      </c>
      <c r="K8" s="157">
        <v>0</v>
      </c>
      <c r="L8" s="157">
        <v>0</v>
      </c>
      <c r="M8" s="157">
        <v>0</v>
      </c>
      <c r="N8"/>
      <c r="O8" s="75"/>
    </row>
    <row r="9" spans="1:15" s="3" customFormat="1" x14ac:dyDescent="0.35">
      <c r="B9" s="241"/>
      <c r="C9" s="2" t="s">
        <v>128</v>
      </c>
      <c r="D9" s="157">
        <f>D8/(1+'Model input'!$C$11)^(D$3-1)</f>
        <v>0</v>
      </c>
      <c r="E9" s="157">
        <f>E8/(1+'Model input'!$C$11)^(E$3-1)</f>
        <v>0</v>
      </c>
      <c r="F9" s="157">
        <f>F8/(1+'Model input'!$C$11)^(F$3-1)</f>
        <v>0</v>
      </c>
      <c r="G9" s="157">
        <f>G8/(1+'Model input'!$C$11)^(G$3-1)</f>
        <v>0</v>
      </c>
      <c r="H9" s="157">
        <f>H8/(1+'Model input'!$C$11)^(H$3-1)</f>
        <v>0</v>
      </c>
      <c r="I9" s="157">
        <f>I8/(1+'Model input'!$C$11)^(I$3-1)</f>
        <v>0</v>
      </c>
      <c r="J9" s="157">
        <f>J8/(1+'Model input'!$C$11)^(J$3-1)</f>
        <v>0</v>
      </c>
      <c r="K9" s="157">
        <f>K8/(1+'Model input'!$C$11)^(K$3-1)</f>
        <v>0</v>
      </c>
      <c r="L9" s="157">
        <f>L8/(1+'Model input'!$C$11)^(L$3-1)</f>
        <v>0</v>
      </c>
      <c r="M9" s="157">
        <f>M8/(1+'Model input'!$C$11)^(M$3-1)</f>
        <v>0</v>
      </c>
      <c r="N9"/>
      <c r="O9" s="75"/>
    </row>
    <row r="10" spans="1:15" s="3" customFormat="1" x14ac:dyDescent="0.35">
      <c r="B10" s="242"/>
      <c r="C10" s="2" t="s">
        <v>129</v>
      </c>
      <c r="D10" s="157">
        <f>D9/'Model input'!$C$61</f>
        <v>0</v>
      </c>
      <c r="E10" s="157">
        <v>0</v>
      </c>
      <c r="F10" s="157">
        <f>F9/'Model input'!$C$61</f>
        <v>0</v>
      </c>
      <c r="G10" s="157">
        <f>G9/'Model input'!$C$61</f>
        <v>0</v>
      </c>
      <c r="H10" s="157">
        <f>H9/'Model input'!$C$61</f>
        <v>0</v>
      </c>
      <c r="I10" s="157">
        <f>I9/'Model input'!$C$61</f>
        <v>0</v>
      </c>
      <c r="J10" s="157">
        <f>J9/'Model input'!$C$61</f>
        <v>0</v>
      </c>
      <c r="K10" s="157">
        <f>K9/'Model input'!$C$61</f>
        <v>0</v>
      </c>
      <c r="L10" s="157">
        <f>L9/'Model input'!$C$61</f>
        <v>0</v>
      </c>
      <c r="M10" s="157">
        <f>M9/'Model input'!$C$61</f>
        <v>0</v>
      </c>
      <c r="N10"/>
      <c r="O10" s="75"/>
    </row>
    <row r="11" spans="1:15" ht="15.5" x14ac:dyDescent="0.35">
      <c r="B11" s="238" t="s">
        <v>125</v>
      </c>
      <c r="C11" s="239"/>
      <c r="D11" s="158">
        <f>D7+D10</f>
        <v>104.40063195457321</v>
      </c>
      <c r="E11" s="158">
        <f>E7+E10</f>
        <v>94.909665413248376</v>
      </c>
      <c r="F11" s="158">
        <f t="shared" ref="F11:M11" si="0">F7+F10</f>
        <v>86.281514012043957</v>
      </c>
      <c r="G11" s="158">
        <f t="shared" si="0"/>
        <v>78.437740010949042</v>
      </c>
      <c r="H11" s="158">
        <f t="shared" si="0"/>
        <v>71.307036373590037</v>
      </c>
      <c r="I11" s="158">
        <f t="shared" si="0"/>
        <v>64.824578521445488</v>
      </c>
      <c r="J11" s="158">
        <f t="shared" si="0"/>
        <v>58.931435019495893</v>
      </c>
      <c r="K11" s="158">
        <f t="shared" si="0"/>
        <v>53.574031835905345</v>
      </c>
      <c r="L11" s="158">
        <f t="shared" si="0"/>
        <v>48.703665305368503</v>
      </c>
      <c r="M11" s="158">
        <f t="shared" si="0"/>
        <v>44.276059368516819</v>
      </c>
      <c r="O11" s="68"/>
    </row>
    <row r="12" spans="1:15" x14ac:dyDescent="0.35">
      <c r="O12" s="68"/>
    </row>
    <row r="13" spans="1:15" ht="18" x14ac:dyDescent="0.4">
      <c r="A13" s="104"/>
      <c r="B13" s="137" t="s">
        <v>159</v>
      </c>
      <c r="C13" s="104"/>
      <c r="D13" s="105"/>
      <c r="E13" s="106"/>
      <c r="F13" s="7"/>
      <c r="G13" s="7"/>
      <c r="H13" s="7"/>
      <c r="I13" s="7"/>
      <c r="J13" s="7"/>
      <c r="K13" s="7"/>
      <c r="L13" s="7"/>
      <c r="M13" s="7"/>
      <c r="N13" s="7"/>
      <c r="O13" s="70"/>
    </row>
    <row r="14" spans="1:15" x14ac:dyDescent="0.35">
      <c r="O14" s="68"/>
    </row>
    <row r="15" spans="1:15" ht="15.5" x14ac:dyDescent="0.35">
      <c r="B15" s="136" t="s">
        <v>78</v>
      </c>
      <c r="C15" s="4">
        <v>2026</v>
      </c>
      <c r="D15" s="4">
        <v>2027</v>
      </c>
      <c r="E15" s="4">
        <v>2028</v>
      </c>
      <c r="F15" s="4">
        <v>2029</v>
      </c>
      <c r="G15" s="4">
        <v>2030</v>
      </c>
      <c r="H15" s="4">
        <v>2031</v>
      </c>
      <c r="I15" s="4">
        <v>2032</v>
      </c>
      <c r="J15" s="4">
        <v>2033</v>
      </c>
      <c r="K15" s="4">
        <v>2034</v>
      </c>
      <c r="L15" s="4">
        <v>2035</v>
      </c>
      <c r="M15" s="4">
        <v>2036</v>
      </c>
      <c r="O15" s="68"/>
    </row>
    <row r="16" spans="1:15" x14ac:dyDescent="0.35">
      <c r="B16" s="140" t="s">
        <v>130</v>
      </c>
      <c r="C16" s="141">
        <f>'Model input'!C37*D11</f>
        <v>338258.04753281723</v>
      </c>
      <c r="D16" s="141">
        <f>'Model input'!D37*D11/(1+'Model input'!$C$11)+'Model input'!D38*E11</f>
        <v>768768.2898473118</v>
      </c>
      <c r="E16" s="141">
        <f>'Model input'!E38*E11/(1+'Model input'!$C$11)+'Model input'!E39*F11</f>
        <v>698880.26349755609</v>
      </c>
      <c r="F16" s="141">
        <f>'Model input'!F39*F$11/(1+'Model input'!$C$11)+'Model input'!F40*G$11</f>
        <v>635345.69408868731</v>
      </c>
      <c r="G16" s="141">
        <f>'Model input'!G40*G$11/(1+'Model input'!$C$11)+'Model input'!G41*H$11</f>
        <v>577586.99462607922</v>
      </c>
      <c r="H16" s="141">
        <f>'Model input'!H41*H$11/(1+'Model input'!$C$11)+'Model input'!H42*I$11</f>
        <v>525079.08602370846</v>
      </c>
      <c r="I16" s="141">
        <f>'Model input'!I42*I$11/(1+'Model input'!$C$11)+'Model input'!I43*J$11</f>
        <v>477344.62365791667</v>
      </c>
      <c r="J16" s="141">
        <f>'Model input'!J43*J$11/(1+'Model input'!$C$11)+'Model input'!J44*K$11</f>
        <v>433949.65787083335</v>
      </c>
      <c r="K16" s="141">
        <f>'Model input'!K44*K$11/(1+'Model input'!$C$11)+'Model input'!K45*L$11</f>
        <v>394499.68897348479</v>
      </c>
      <c r="L16" s="141">
        <f>'Model input'!L45*L$11/(1+'Model input'!$C$11)+'Model input'!L46*M$11</f>
        <v>358636.08088498621</v>
      </c>
      <c r="M16" s="141">
        <f>'Model input'!M46*M$11/(1+'Model input'!$C$11)</f>
        <v>195619.68048271976</v>
      </c>
      <c r="O16" s="68"/>
    </row>
    <row r="17" spans="1:15" x14ac:dyDescent="0.35">
      <c r="O17" s="68"/>
    </row>
    <row r="18" spans="1:15" ht="18" x14ac:dyDescent="0.4">
      <c r="A18" s="104"/>
      <c r="B18" s="137" t="s">
        <v>160</v>
      </c>
      <c r="C18" s="104"/>
      <c r="D18" s="105"/>
      <c r="E18" s="106"/>
      <c r="F18" s="7"/>
      <c r="G18" s="7"/>
      <c r="H18" s="7"/>
      <c r="I18" s="7"/>
      <c r="J18" s="7"/>
      <c r="K18" s="7"/>
      <c r="L18" s="7"/>
      <c r="M18" s="7"/>
      <c r="N18" s="7"/>
      <c r="O18" s="70"/>
    </row>
    <row r="19" spans="1:15" x14ac:dyDescent="0.35">
      <c r="O19" s="68"/>
    </row>
    <row r="20" spans="1:15" ht="15.5" x14ac:dyDescent="0.35">
      <c r="B20" s="136" t="s">
        <v>78</v>
      </c>
      <c r="C20" s="9">
        <v>2026</v>
      </c>
      <c r="D20" s="9">
        <v>2027</v>
      </c>
      <c r="E20" s="9">
        <v>2028</v>
      </c>
      <c r="F20" s="9">
        <v>2029</v>
      </c>
      <c r="O20" s="68"/>
    </row>
    <row r="21" spans="1:15" x14ac:dyDescent="0.35">
      <c r="B21" s="2" t="s">
        <v>131</v>
      </c>
      <c r="C21" s="10">
        <f>1154407/(1+'Model input'!$C$15)-2412+197620</f>
        <v>1349615</v>
      </c>
      <c r="D21" s="10">
        <f>1118042/(1+'Model input'!$C$15)</f>
        <v>1118042</v>
      </c>
      <c r="E21" s="11">
        <f>727551/(1+'Model input'!$C$15)</f>
        <v>727551</v>
      </c>
      <c r="F21" s="11">
        <f>0/'Model input'!$D$15</f>
        <v>0</v>
      </c>
      <c r="O21" s="68"/>
    </row>
    <row r="22" spans="1:15" x14ac:dyDescent="0.35">
      <c r="B22" s="2" t="s">
        <v>132</v>
      </c>
      <c r="C22" s="10">
        <f>C21/('Model input'!H54/'Model input'!$H$54)</f>
        <v>1349615</v>
      </c>
      <c r="D22" s="10">
        <f>D21/('Model input'!I54/'Model input'!$H$54)</f>
        <v>1094840.0224489635</v>
      </c>
      <c r="E22" s="10">
        <f>E21/('Model input'!J54/'Model input'!$H$54)</f>
        <v>697436.83771875862</v>
      </c>
      <c r="F22" s="10">
        <f>F21/('Model input'!J54/'Model input'!$H$54)</f>
        <v>0</v>
      </c>
      <c r="O22" s="68"/>
    </row>
    <row r="23" spans="1:15" x14ac:dyDescent="0.35">
      <c r="B23" s="2" t="s">
        <v>133</v>
      </c>
      <c r="C23" s="10">
        <f>C22/(1+'Model input'!$C$11)^(C20-2026)</f>
        <v>1349615</v>
      </c>
      <c r="D23" s="10">
        <f>D22/(1+'Model input'!$C$11)^(D20-2026)</f>
        <v>995309.11131723947</v>
      </c>
      <c r="E23" s="10">
        <f>E22/(1+'Model input'!$C$11)^(E20-2026)</f>
        <v>576394.08075930458</v>
      </c>
      <c r="F23" s="10">
        <f>F22/(1+'Model input'!$C$11)^(F20-2026)</f>
        <v>0</v>
      </c>
      <c r="O23" s="68"/>
    </row>
    <row r="24" spans="1:15" x14ac:dyDescent="0.35">
      <c r="B24" s="2" t="s">
        <v>134</v>
      </c>
      <c r="C24" s="10">
        <f>C23/('Model input'!$G$54/'Model input'!$C$54)</f>
        <v>1135336.2306477481</v>
      </c>
      <c r="D24" s="10">
        <f>D23/('Model input'!$G$54/'Model input'!$C$54)</f>
        <v>837283.5918186109</v>
      </c>
      <c r="E24" s="10">
        <f>E23/('Model input'!$G$54/'Model input'!$C$54)</f>
        <v>484879.82351777551</v>
      </c>
      <c r="F24" s="10">
        <f>F23/('Model input'!$G$54/'Model input'!$C$54)</f>
        <v>0</v>
      </c>
      <c r="O24" s="68"/>
    </row>
    <row r="25" spans="1:15" x14ac:dyDescent="0.35">
      <c r="D25" s="107"/>
      <c r="E25" s="107"/>
      <c r="F25" s="107"/>
      <c r="G25" s="107"/>
      <c r="H25" s="107"/>
      <c r="O25" s="76"/>
    </row>
    <row r="26" spans="1:15" ht="21.75" customHeight="1" x14ac:dyDescent="0.35">
      <c r="B26" s="142" t="s">
        <v>135</v>
      </c>
      <c r="C26" s="143">
        <f>SUM(C24:F24)</f>
        <v>2457499.6459841346</v>
      </c>
      <c r="D26" s="108"/>
      <c r="H26" s="107"/>
      <c r="O26" s="68"/>
    </row>
    <row r="27" spans="1:15" ht="21.75" customHeight="1" x14ac:dyDescent="0.35">
      <c r="B27" s="142" t="s">
        <v>136</v>
      </c>
      <c r="C27" s="143">
        <f>C26/'Model input'!C33</f>
        <v>303.3950180227327</v>
      </c>
      <c r="D27" s="108"/>
      <c r="H27" s="107"/>
      <c r="O27" s="68"/>
    </row>
    <row r="28" spans="1:15" ht="20.25" customHeight="1" x14ac:dyDescent="0.35">
      <c r="B28" s="109"/>
      <c r="C28" s="109"/>
      <c r="D28" s="108"/>
      <c r="O28" s="68"/>
    </row>
    <row r="29" spans="1:15" ht="18" x14ac:dyDescent="0.4">
      <c r="A29" s="104"/>
      <c r="B29" s="137" t="s">
        <v>161</v>
      </c>
      <c r="C29" s="104"/>
      <c r="D29" s="105"/>
      <c r="E29" s="106"/>
      <c r="F29" s="7"/>
      <c r="G29" s="7"/>
      <c r="H29" s="7"/>
      <c r="I29" s="7"/>
      <c r="J29" s="7"/>
      <c r="K29" s="7"/>
      <c r="L29" s="7"/>
      <c r="M29" s="7"/>
      <c r="N29" s="7"/>
      <c r="O29" s="70"/>
    </row>
    <row r="30" spans="1:15" x14ac:dyDescent="0.35">
      <c r="F30" s="110"/>
      <c r="O30" s="68"/>
    </row>
    <row r="31" spans="1:15" ht="15.5" x14ac:dyDescent="0.35">
      <c r="B31" s="144" t="s">
        <v>137</v>
      </c>
      <c r="C31" s="145">
        <f>SUM(C16:M16)</f>
        <v>5403968.1074861009</v>
      </c>
      <c r="D31" s="111"/>
      <c r="O31" s="68"/>
    </row>
    <row r="32" spans="1:15" ht="18.75" customHeight="1" x14ac:dyDescent="0.35">
      <c r="B32" s="144" t="s">
        <v>138</v>
      </c>
      <c r="C32" s="145">
        <f>C31-C26</f>
        <v>2946468.4615019662</v>
      </c>
      <c r="O32" s="68"/>
    </row>
    <row r="33" spans="1:15" ht="15.5" x14ac:dyDescent="0.35">
      <c r="B33" s="144" t="s">
        <v>139</v>
      </c>
      <c r="C33" s="145">
        <f>+C31/'Model input'!C33</f>
        <v>667.15655647976553</v>
      </c>
      <c r="O33" s="68"/>
    </row>
    <row r="34" spans="1:15" ht="15.5" x14ac:dyDescent="0.35">
      <c r="B34" s="144" t="s">
        <v>140</v>
      </c>
      <c r="C34" s="145">
        <f>C33-C27</f>
        <v>363.76153845703283</v>
      </c>
      <c r="O34" s="68"/>
    </row>
    <row r="35" spans="1:15" ht="15.5" x14ac:dyDescent="0.35">
      <c r="B35" s="142" t="s">
        <v>141</v>
      </c>
      <c r="C35" s="180">
        <f>AVERAGE(D4:M4)/'Model input'!C20</f>
        <v>6.9999999999999979E-2</v>
      </c>
      <c r="O35" s="68"/>
    </row>
    <row r="36" spans="1:15" x14ac:dyDescent="0.35">
      <c r="F36" s="110"/>
      <c r="O36" s="68"/>
    </row>
    <row r="37" spans="1:15" ht="18" x14ac:dyDescent="0.4">
      <c r="A37" s="104"/>
      <c r="B37" s="137" t="s">
        <v>162</v>
      </c>
      <c r="C37" s="104"/>
      <c r="D37" s="105"/>
      <c r="E37" s="106"/>
      <c r="F37" s="7"/>
      <c r="G37" s="7"/>
      <c r="H37" s="7"/>
      <c r="I37" s="7"/>
      <c r="J37" s="7"/>
      <c r="K37" s="7"/>
      <c r="L37" s="7"/>
      <c r="M37" s="7"/>
      <c r="N37" s="7"/>
      <c r="O37" s="70"/>
    </row>
    <row r="38" spans="1:15" x14ac:dyDescent="0.35">
      <c r="O38" s="68"/>
    </row>
    <row r="39" spans="1:15" ht="25.5" customHeight="1" x14ac:dyDescent="0.35">
      <c r="B39" s="142" t="s">
        <v>142</v>
      </c>
      <c r="C39" s="146">
        <f>C31/C26</f>
        <v>2.1989700451501055</v>
      </c>
      <c r="D39" s="8" t="s">
        <v>143</v>
      </c>
      <c r="E39" s="112"/>
      <c r="O39" s="68"/>
    </row>
    <row r="40" spans="1:15" ht="25.5" customHeight="1" x14ac:dyDescent="0.35">
      <c r="B40" s="142" t="s">
        <v>144</v>
      </c>
      <c r="C40" s="146">
        <v>1.6</v>
      </c>
      <c r="D40" s="112"/>
      <c r="E40" s="112"/>
      <c r="F40" s="174"/>
      <c r="G40" s="175"/>
      <c r="H40" s="112"/>
      <c r="O40" s="68"/>
    </row>
    <row r="41" spans="1:15" x14ac:dyDescent="0.35">
      <c r="I41" s="113"/>
      <c r="J41" s="113"/>
      <c r="K41" s="113"/>
      <c r="M41" s="113"/>
      <c r="N41" s="1"/>
      <c r="O41" s="68"/>
    </row>
    <row r="42" spans="1:15" x14ac:dyDescent="0.35">
      <c r="A42" s="208"/>
      <c r="B42" s="208"/>
      <c r="C42" s="208"/>
      <c r="D42" s="208"/>
      <c r="E42" s="208"/>
      <c r="F42" s="208"/>
      <c r="G42" s="208"/>
      <c r="H42" s="208"/>
      <c r="I42" s="208"/>
      <c r="J42" s="208"/>
      <c r="K42" s="208"/>
      <c r="L42" s="208"/>
      <c r="M42" s="208"/>
      <c r="N42" s="208"/>
      <c r="O42" s="208"/>
    </row>
  </sheetData>
  <sortState xmlns:xlrd2="http://schemas.microsoft.com/office/spreadsheetml/2017/richdata2" ref="O20">
    <sortCondition ref="O20"/>
  </sortState>
  <mergeCells count="3">
    <mergeCell ref="B11:C11"/>
    <mergeCell ref="B4:B7"/>
    <mergeCell ref="B8:B10"/>
  </mergeCells>
  <conditionalFormatting sqref="B11 D11:M11">
    <cfRule type="cellIs" dxfId="4" priority="1" operator="lessThan">
      <formula>0</formula>
    </cfRule>
  </conditionalFormatting>
  <conditionalFormatting sqref="C20:F24">
    <cfRule type="cellIs" dxfId="3" priority="5" operator="lessThan">
      <formula>0</formula>
    </cfRule>
  </conditionalFormatting>
  <conditionalFormatting sqref="C3:M3">
    <cfRule type="cellIs" dxfId="2" priority="36" operator="lessThan">
      <formula>0</formula>
    </cfRule>
  </conditionalFormatting>
  <conditionalFormatting sqref="C15:M15">
    <cfRule type="cellIs" dxfId="1" priority="4" operator="lessThan">
      <formula>0</formula>
    </cfRule>
  </conditionalFormatting>
  <conditionalFormatting sqref="O25 I41:K41 M41">
    <cfRule type="cellIs" dxfId="0" priority="41" operator="lessThan">
      <formula>0</formula>
    </cfRule>
  </conditionalFormatting>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3778A-3576-4344-8DF5-B8CF6BE8EE35}">
  <dimension ref="A1:O53"/>
  <sheetViews>
    <sheetView showGridLines="0" zoomScale="50" workbookViewId="0">
      <selection activeCell="S16" sqref="S16"/>
    </sheetView>
  </sheetViews>
  <sheetFormatPr baseColWidth="10" defaultColWidth="8.7265625" defaultRowHeight="14.5" x14ac:dyDescent="0.35"/>
  <cols>
    <col min="1" max="1" width="3.6328125" customWidth="1"/>
    <col min="2" max="2" width="95.08984375" customWidth="1"/>
    <col min="3" max="3" width="23" customWidth="1"/>
    <col min="4" max="4" width="21.54296875" customWidth="1"/>
    <col min="6" max="6" width="18.7265625" customWidth="1"/>
  </cols>
  <sheetData>
    <row r="1" spans="1:15" ht="18" x14ac:dyDescent="0.4">
      <c r="A1" s="222"/>
      <c r="B1" s="221" t="s">
        <v>150</v>
      </c>
      <c r="C1" s="203"/>
      <c r="D1" s="203"/>
      <c r="E1" s="203"/>
      <c r="F1" s="203"/>
      <c r="G1" s="203"/>
      <c r="H1" s="203"/>
      <c r="I1" s="203"/>
      <c r="J1" s="203"/>
      <c r="K1" s="203"/>
      <c r="L1" s="203"/>
      <c r="M1" s="203"/>
      <c r="N1" s="203"/>
      <c r="O1" s="204"/>
    </row>
    <row r="2" spans="1:15" x14ac:dyDescent="0.35">
      <c r="B2" s="225" t="s">
        <v>157</v>
      </c>
      <c r="O2" s="68"/>
    </row>
    <row r="3" spans="1:15" x14ac:dyDescent="0.35">
      <c r="B3" s="72"/>
      <c r="O3" s="68"/>
    </row>
    <row r="4" spans="1:15" x14ac:dyDescent="0.35">
      <c r="B4" s="205" t="s">
        <v>151</v>
      </c>
      <c r="C4" s="217" t="s">
        <v>93</v>
      </c>
      <c r="D4" s="217" t="s">
        <v>152</v>
      </c>
      <c r="E4" s="206" t="s">
        <v>153</v>
      </c>
      <c r="G4" s="235" t="s">
        <v>67</v>
      </c>
      <c r="H4" s="235"/>
      <c r="I4" s="235"/>
      <c r="J4" s="235"/>
      <c r="K4" s="235"/>
      <c r="L4" s="235"/>
      <c r="O4" s="68"/>
    </row>
    <row r="5" spans="1:15" x14ac:dyDescent="0.35">
      <c r="B5" s="2" t="s">
        <v>75</v>
      </c>
      <c r="C5" s="218">
        <v>0.1</v>
      </c>
      <c r="D5" s="218">
        <v>0.1</v>
      </c>
      <c r="E5" s="209" t="s">
        <v>154</v>
      </c>
      <c r="F5" t="s">
        <v>101</v>
      </c>
      <c r="G5" s="236" t="s">
        <v>69</v>
      </c>
      <c r="H5" s="236"/>
      <c r="I5" s="236"/>
      <c r="J5" s="236"/>
      <c r="K5" s="236"/>
      <c r="L5" s="236"/>
      <c r="O5" s="68"/>
    </row>
    <row r="6" spans="1:15" x14ac:dyDescent="0.35">
      <c r="B6" s="2" t="s">
        <v>165</v>
      </c>
      <c r="C6" s="218">
        <v>0</v>
      </c>
      <c r="D6" s="218">
        <v>0</v>
      </c>
      <c r="E6" s="209" t="s">
        <v>155</v>
      </c>
      <c r="F6" t="s">
        <v>101</v>
      </c>
      <c r="G6" s="237" t="s">
        <v>71</v>
      </c>
      <c r="H6" s="237"/>
      <c r="I6" s="237"/>
      <c r="J6" s="237"/>
      <c r="K6" s="237"/>
      <c r="L6" s="237"/>
      <c r="O6" s="68"/>
    </row>
    <row r="7" spans="1:15" x14ac:dyDescent="0.35">
      <c r="B7" s="124" t="s">
        <v>97</v>
      </c>
      <c r="C7" s="219">
        <v>135524.5</v>
      </c>
      <c r="D7" s="219">
        <v>135524.5</v>
      </c>
      <c r="E7" s="209" t="s">
        <v>154</v>
      </c>
      <c r="F7" t="s">
        <v>101</v>
      </c>
      <c r="O7" s="68"/>
    </row>
    <row r="8" spans="1:15" x14ac:dyDescent="0.35">
      <c r="B8" s="124" t="s">
        <v>103</v>
      </c>
      <c r="C8" s="218">
        <v>7.0000000000000007E-2</v>
      </c>
      <c r="D8" s="218">
        <v>7.0000000000000007E-2</v>
      </c>
      <c r="E8" s="209" t="s">
        <v>154</v>
      </c>
      <c r="F8" t="s">
        <v>101</v>
      </c>
      <c r="O8" s="68"/>
    </row>
    <row r="9" spans="1:15" x14ac:dyDescent="0.35">
      <c r="B9" s="207" t="s">
        <v>88</v>
      </c>
      <c r="C9" s="218" t="s">
        <v>89</v>
      </c>
      <c r="D9" s="218" t="s">
        <v>89</v>
      </c>
      <c r="E9" s="209" t="s">
        <v>154</v>
      </c>
      <c r="F9" t="s">
        <v>101</v>
      </c>
      <c r="O9" s="68"/>
    </row>
    <row r="10" spans="1:15" x14ac:dyDescent="0.35">
      <c r="B10" s="124" t="s">
        <v>106</v>
      </c>
      <c r="C10" s="220">
        <v>40.5</v>
      </c>
      <c r="D10" s="220">
        <v>40.5</v>
      </c>
      <c r="E10" s="209" t="s">
        <v>154</v>
      </c>
      <c r="F10" t="s">
        <v>101</v>
      </c>
      <c r="O10" s="68"/>
    </row>
    <row r="11" spans="1:15" x14ac:dyDescent="0.35">
      <c r="O11" s="68"/>
    </row>
    <row r="12" spans="1:15" ht="15.5" x14ac:dyDescent="0.35">
      <c r="B12" s="223" t="s">
        <v>164</v>
      </c>
      <c r="C12" s="224">
        <f>SROI!C39</f>
        <v>2.1989700451501055</v>
      </c>
      <c r="O12" s="68"/>
    </row>
    <row r="13" spans="1:15" x14ac:dyDescent="0.35">
      <c r="B13" s="208"/>
      <c r="O13" s="68"/>
    </row>
    <row r="14" spans="1:15" ht="15" customHeight="1" x14ac:dyDescent="0.35">
      <c r="B14" s="243" t="s">
        <v>149</v>
      </c>
      <c r="C14" s="243"/>
      <c r="O14" s="68"/>
    </row>
    <row r="15" spans="1:15" ht="15" customHeight="1" x14ac:dyDescent="0.35">
      <c r="B15" s="243"/>
      <c r="C15" s="243"/>
      <c r="G15" s="246" t="s">
        <v>145</v>
      </c>
      <c r="H15" s="246"/>
      <c r="I15" s="246"/>
      <c r="J15" s="246"/>
      <c r="K15" s="246"/>
      <c r="L15" s="246"/>
      <c r="M15" s="246"/>
      <c r="N15" s="246"/>
      <c r="O15" s="68"/>
    </row>
    <row r="16" spans="1:15" ht="15" customHeight="1" x14ac:dyDescent="0.35">
      <c r="B16" s="243"/>
      <c r="C16" s="243"/>
      <c r="F16" s="210">
        <f>SROI!C39</f>
        <v>2.1989700451501055</v>
      </c>
      <c r="G16" s="90">
        <v>2.5000000000000001E-2</v>
      </c>
      <c r="H16" s="90">
        <v>7.0000000000000007E-2</v>
      </c>
      <c r="I16" s="90">
        <v>7.4999999999999997E-2</v>
      </c>
      <c r="J16" s="117">
        <v>0.1</v>
      </c>
      <c r="K16" s="90">
        <v>0.125</v>
      </c>
      <c r="L16" s="90">
        <v>0.15</v>
      </c>
      <c r="M16" s="90">
        <v>0.17499999999999999</v>
      </c>
      <c r="N16" s="90">
        <v>0.2</v>
      </c>
      <c r="O16" s="68"/>
    </row>
    <row r="17" spans="2:15" ht="15" customHeight="1" x14ac:dyDescent="0.35">
      <c r="B17" s="243"/>
      <c r="C17" s="243"/>
      <c r="E17" s="245" t="s">
        <v>146</v>
      </c>
      <c r="F17" s="103">
        <v>0</v>
      </c>
      <c r="G17" s="211">
        <f t="dataTable" ref="G17:N24" dt2D="1" dtr="1" r1="C5" r2="C6" ca="1"/>
        <v>2.8835777644186797</v>
      </c>
      <c r="H17" s="211">
        <v>2.4339849853065449</v>
      </c>
      <c r="I17" s="211">
        <v>2.3916901296535733</v>
      </c>
      <c r="J17" s="211">
        <v>2.1989700451501055</v>
      </c>
      <c r="K17" s="211">
        <v>2.0334149205515692</v>
      </c>
      <c r="L17" s="211">
        <v>1.8903479788458091</v>
      </c>
      <c r="M17" s="211">
        <v>1.766010395155331</v>
      </c>
      <c r="N17" s="211">
        <v>1.6573623780325135</v>
      </c>
      <c r="O17" s="68"/>
    </row>
    <row r="18" spans="2:15" ht="15" customHeight="1" x14ac:dyDescent="0.35">
      <c r="B18" s="243"/>
      <c r="C18" s="243"/>
      <c r="E18" s="245"/>
      <c r="F18" s="103">
        <v>2.5000000000000001E-2</v>
      </c>
      <c r="G18" s="211">
        <v>2.9509938167825713</v>
      </c>
      <c r="H18" s="211">
        <v>2.4907583504640969</v>
      </c>
      <c r="I18" s="211">
        <v>2.4474629434571677</v>
      </c>
      <c r="J18" s="211">
        <v>2.2501852555437925</v>
      </c>
      <c r="K18" s="211">
        <v>2.0807169659098994</v>
      </c>
      <c r="L18" s="211">
        <v>1.9342699574366369</v>
      </c>
      <c r="M18" s="211">
        <v>1.8069959928950332</v>
      </c>
      <c r="N18" s="211">
        <v>1.6957830297340823</v>
      </c>
      <c r="O18" s="68"/>
    </row>
    <row r="19" spans="2:15" ht="15" customHeight="1" x14ac:dyDescent="0.35">
      <c r="B19" s="243"/>
      <c r="C19" s="243"/>
      <c r="E19" s="245"/>
      <c r="F19" s="103">
        <v>0.05</v>
      </c>
      <c r="G19" s="211">
        <v>3.018197014164389</v>
      </c>
      <c r="H19" s="211">
        <v>2.5473464965564241</v>
      </c>
      <c r="I19" s="211">
        <v>2.5030531669280522</v>
      </c>
      <c r="J19" s="211">
        <v>2.3012299208893601</v>
      </c>
      <c r="K19" s="211">
        <v>2.1278589049973258</v>
      </c>
      <c r="L19" s="211">
        <v>1.9780409214403016</v>
      </c>
      <c r="M19" s="211">
        <v>1.8478385323889919</v>
      </c>
      <c r="N19" s="211">
        <v>1.7340676179501888</v>
      </c>
      <c r="O19" s="68"/>
    </row>
    <row r="20" spans="2:15" ht="15" customHeight="1" x14ac:dyDescent="0.35">
      <c r="B20" s="243"/>
      <c r="C20" s="243"/>
      <c r="E20" s="245"/>
      <c r="F20" s="103">
        <v>0.1</v>
      </c>
      <c r="G20" s="211">
        <v>3.1519688636158714</v>
      </c>
      <c r="H20" s="211">
        <v>2.6599707453398018</v>
      </c>
      <c r="I20" s="211">
        <v>2.6136894177788959</v>
      </c>
      <c r="J20" s="211">
        <v>2.4028110125851123</v>
      </c>
      <c r="K20" s="211">
        <v>2.2216657049227906</v>
      </c>
      <c r="L20" s="211">
        <v>2.0651329103637073</v>
      </c>
      <c r="M20" s="211">
        <v>1.9290974222458728</v>
      </c>
      <c r="N20" s="211">
        <v>1.8102314848672949</v>
      </c>
      <c r="O20" s="68"/>
    </row>
    <row r="21" spans="2:15" ht="15" customHeight="1" x14ac:dyDescent="0.35">
      <c r="B21" s="243"/>
      <c r="C21" s="243"/>
      <c r="E21" s="245"/>
      <c r="F21" s="103">
        <v>0.125</v>
      </c>
      <c r="G21" s="211">
        <v>3.2185395097131941</v>
      </c>
      <c r="H21" s="212">
        <v>2.7160086402626358</v>
      </c>
      <c r="I21" s="211">
        <v>2.668737218054432</v>
      </c>
      <c r="J21" s="211">
        <v>2.4533491229437057</v>
      </c>
      <c r="K21" s="211">
        <v>2.2683321724010721</v>
      </c>
      <c r="L21" s="211">
        <v>2.1084554743473856</v>
      </c>
      <c r="M21" s="211">
        <v>1.9695152524533459</v>
      </c>
      <c r="N21" s="211">
        <v>1.848112191353062</v>
      </c>
      <c r="O21" s="68"/>
    </row>
    <row r="22" spans="2:15" ht="15" customHeight="1" x14ac:dyDescent="0.35">
      <c r="B22" s="243"/>
      <c r="C22" s="243"/>
      <c r="E22" s="245"/>
      <c r="F22" s="118">
        <v>0.14000000000000001</v>
      </c>
      <c r="G22" s="211">
        <v>3.2583815783436814</v>
      </c>
      <c r="H22" s="212">
        <v>2.749544136098597</v>
      </c>
      <c r="I22" s="211">
        <v>2.7016799009435735</v>
      </c>
      <c r="J22" s="213">
        <v>2.4835916911043086</v>
      </c>
      <c r="K22" s="211">
        <v>2.2962566936250246</v>
      </c>
      <c r="L22" s="211">
        <v>2.1343779547513897</v>
      </c>
      <c r="M22" s="211">
        <v>1.9936986566622024</v>
      </c>
      <c r="N22" s="211">
        <v>1.8707766304871141</v>
      </c>
      <c r="O22" s="68"/>
    </row>
    <row r="23" spans="2:15" ht="15" customHeight="1" x14ac:dyDescent="0.35">
      <c r="B23" s="243"/>
      <c r="C23" s="243"/>
      <c r="E23" s="245"/>
      <c r="F23" s="103">
        <v>0.17499999999999999</v>
      </c>
      <c r="G23" s="211">
        <v>3.3510551828713568</v>
      </c>
      <c r="H23" s="211">
        <v>2.8275404082521134</v>
      </c>
      <c r="I23" s="211">
        <v>2.7782965573669665</v>
      </c>
      <c r="J23" s="211">
        <v>2.5539246409928729</v>
      </c>
      <c r="K23" s="211">
        <v>2.3611952185458343</v>
      </c>
      <c r="L23" s="211">
        <v>2.1946575496691652</v>
      </c>
      <c r="M23" s="211">
        <v>2.0499313446329177</v>
      </c>
      <c r="N23" s="211">
        <v>1.923474682250907</v>
      </c>
      <c r="O23" s="68"/>
    </row>
    <row r="24" spans="2:15" ht="15" customHeight="1" x14ac:dyDescent="0.35">
      <c r="B24" s="243"/>
      <c r="C24" s="243"/>
      <c r="E24" s="245"/>
      <c r="F24" s="103">
        <v>0.2</v>
      </c>
      <c r="G24" s="211">
        <v>3.4170021666859647</v>
      </c>
      <c r="H24" s="211">
        <v>2.8830360389489318</v>
      </c>
      <c r="I24" s="211">
        <v>2.8328098349533484</v>
      </c>
      <c r="J24" s="211">
        <v>2.6039636995160014</v>
      </c>
      <c r="K24" s="211">
        <v>2.4073933716874736</v>
      </c>
      <c r="L24" s="211">
        <v>2.2375385687791791</v>
      </c>
      <c r="M24" s="211">
        <v>2.0899310559114386</v>
      </c>
      <c r="N24" s="211">
        <v>1.9609578645601342</v>
      </c>
      <c r="O24" s="68"/>
    </row>
    <row r="25" spans="2:15" ht="15" customHeight="1" x14ac:dyDescent="0.35">
      <c r="B25" s="243"/>
      <c r="C25" s="243"/>
      <c r="E25" s="214"/>
      <c r="O25" s="68"/>
    </row>
    <row r="26" spans="2:15" ht="15" customHeight="1" x14ac:dyDescent="0.35">
      <c r="B26" s="243"/>
      <c r="C26" s="243"/>
      <c r="E26" s="214"/>
      <c r="O26" s="68"/>
    </row>
    <row r="27" spans="2:15" ht="15" customHeight="1" x14ac:dyDescent="0.35">
      <c r="B27" s="243"/>
      <c r="C27" s="243"/>
      <c r="G27" s="246" t="s">
        <v>103</v>
      </c>
      <c r="H27" s="246"/>
      <c r="I27" s="246"/>
      <c r="J27" s="246"/>
      <c r="K27" s="246"/>
      <c r="L27" s="246"/>
      <c r="M27" s="246"/>
      <c r="N27" s="246"/>
      <c r="O27" s="68"/>
    </row>
    <row r="28" spans="2:15" ht="15" customHeight="1" x14ac:dyDescent="0.35">
      <c r="B28" s="243"/>
      <c r="C28" s="243"/>
      <c r="F28" s="210">
        <f>SROI!C39</f>
        <v>2.1989700451501055</v>
      </c>
      <c r="G28" s="90">
        <v>2.5000000000000001E-2</v>
      </c>
      <c r="H28" s="117">
        <v>7.0000000000000007E-2</v>
      </c>
      <c r="I28" s="90">
        <v>7.4999999999999997E-2</v>
      </c>
      <c r="J28" s="90">
        <v>0.1</v>
      </c>
      <c r="K28" s="90">
        <v>0.125</v>
      </c>
      <c r="L28" s="90">
        <v>0.15</v>
      </c>
      <c r="M28" s="90">
        <v>0.17</v>
      </c>
      <c r="N28" s="90">
        <v>0.2</v>
      </c>
      <c r="O28" s="68"/>
    </row>
    <row r="29" spans="2:15" ht="15" customHeight="1" x14ac:dyDescent="0.35">
      <c r="B29" s="243"/>
      <c r="C29" s="243"/>
      <c r="E29" s="245" t="s">
        <v>147</v>
      </c>
      <c r="F29" s="101">
        <v>25000</v>
      </c>
      <c r="G29" s="215">
        <f t="dataTable" ref="G29:N37" dt2D="1" dtr="1" r1="C8" r2="C7"/>
        <v>0.14487167351594477</v>
      </c>
      <c r="H29" s="215">
        <v>0.40564068584464541</v>
      </c>
      <c r="I29" s="215">
        <v>0.43461502054783424</v>
      </c>
      <c r="J29" s="215">
        <v>0.57948669406377906</v>
      </c>
      <c r="K29" s="215">
        <v>0.72435836757972383</v>
      </c>
      <c r="L29" s="215">
        <v>0.86923004109566848</v>
      </c>
      <c r="M29" s="215">
        <v>0.98512737990842458</v>
      </c>
      <c r="N29" s="215">
        <v>1.1589733881275581</v>
      </c>
      <c r="O29" s="68"/>
    </row>
    <row r="30" spans="2:15" ht="15" customHeight="1" x14ac:dyDescent="0.35">
      <c r="B30" s="243"/>
      <c r="C30" s="243"/>
      <c r="E30" s="245"/>
      <c r="F30" s="101">
        <v>50000</v>
      </c>
      <c r="G30" s="215">
        <v>0.28974334703188953</v>
      </c>
      <c r="H30" s="215">
        <v>0.81128137168929082</v>
      </c>
      <c r="I30" s="215">
        <v>0.86923004109566848</v>
      </c>
      <c r="J30" s="215">
        <v>1.1589733881275581</v>
      </c>
      <c r="K30" s="211">
        <v>1.4487167351594477</v>
      </c>
      <c r="L30" s="211">
        <v>1.738460082191337</v>
      </c>
      <c r="M30" s="211">
        <v>1.9702547598168492</v>
      </c>
      <c r="N30" s="211">
        <v>2.3179467762551162</v>
      </c>
      <c r="O30" s="68"/>
    </row>
    <row r="31" spans="2:15" ht="15" customHeight="1" x14ac:dyDescent="0.35">
      <c r="B31" s="243"/>
      <c r="C31" s="243"/>
      <c r="E31" s="245"/>
      <c r="F31" s="101">
        <v>75000</v>
      </c>
      <c r="G31" s="215">
        <v>0.43461502054783435</v>
      </c>
      <c r="H31" s="211">
        <v>1.2169220575339363</v>
      </c>
      <c r="I31" s="211">
        <v>1.3038450616435027</v>
      </c>
      <c r="J31" s="211">
        <v>1.7384600821913374</v>
      </c>
      <c r="K31" s="211">
        <v>2.1730751027391717</v>
      </c>
      <c r="L31" s="211">
        <v>2.6076901232870053</v>
      </c>
      <c r="M31" s="211">
        <v>2.9553821397252729</v>
      </c>
      <c r="N31" s="211">
        <v>3.4769201643826748</v>
      </c>
      <c r="O31" s="68"/>
    </row>
    <row r="32" spans="2:15" ht="15" customHeight="1" x14ac:dyDescent="0.35">
      <c r="B32" s="243"/>
      <c r="C32" s="243"/>
      <c r="E32" s="245"/>
      <c r="F32" s="101">
        <v>100000</v>
      </c>
      <c r="G32" s="215">
        <v>0.57948669406377906</v>
      </c>
      <c r="H32" s="211">
        <v>1.6225627433785816</v>
      </c>
      <c r="I32" s="211">
        <v>1.738460082191337</v>
      </c>
      <c r="J32" s="211">
        <v>2.3179467762551162</v>
      </c>
      <c r="K32" s="211">
        <v>2.8974334703188953</v>
      </c>
      <c r="L32" s="211">
        <v>3.4769201643826739</v>
      </c>
      <c r="M32" s="211">
        <v>3.9405095196336983</v>
      </c>
      <c r="N32" s="211">
        <v>4.6358935525102325</v>
      </c>
      <c r="O32" s="68"/>
    </row>
    <row r="33" spans="2:15" ht="15" customHeight="1" x14ac:dyDescent="0.35">
      <c r="B33" s="243"/>
      <c r="C33" s="243"/>
      <c r="E33" s="245"/>
      <c r="F33" s="101">
        <v>125000</v>
      </c>
      <c r="G33" s="215">
        <v>0.72435836757972383</v>
      </c>
      <c r="H33" s="211">
        <v>2.0282034292232267</v>
      </c>
      <c r="I33" s="211">
        <v>2.1730751027391708</v>
      </c>
      <c r="J33" s="211">
        <v>2.8974334703188953</v>
      </c>
      <c r="K33" s="211">
        <v>3.6217918378986194</v>
      </c>
      <c r="L33" s="211">
        <v>4.3461502054783416</v>
      </c>
      <c r="M33" s="211">
        <v>4.9256368995421234</v>
      </c>
      <c r="N33" s="211">
        <v>5.7948669406377906</v>
      </c>
      <c r="O33" s="68"/>
    </row>
    <row r="34" spans="2:15" ht="15" customHeight="1" x14ac:dyDescent="0.35">
      <c r="B34" s="243"/>
      <c r="C34" s="243"/>
      <c r="E34" s="245"/>
      <c r="F34" s="119">
        <v>135524.5</v>
      </c>
      <c r="G34" s="215">
        <v>0.78534644469646642</v>
      </c>
      <c r="H34" s="216">
        <v>2.1989700451501055</v>
      </c>
      <c r="I34" s="211">
        <v>2.3560393340893993</v>
      </c>
      <c r="J34" s="211">
        <v>3.1413857787858657</v>
      </c>
      <c r="K34" s="211">
        <v>3.9267322234823308</v>
      </c>
      <c r="L34" s="211">
        <v>4.7120786681787985</v>
      </c>
      <c r="M34" s="211">
        <v>5.3403558239359707</v>
      </c>
      <c r="N34" s="211">
        <v>6.2827715575717313</v>
      </c>
      <c r="O34" s="68"/>
    </row>
    <row r="35" spans="2:15" ht="15" customHeight="1" x14ac:dyDescent="0.35">
      <c r="B35" s="243"/>
      <c r="C35" s="243"/>
      <c r="E35" s="245"/>
      <c r="F35" s="101">
        <v>150000</v>
      </c>
      <c r="G35" s="215">
        <v>0.8692300410956687</v>
      </c>
      <c r="H35" s="211">
        <v>2.4338441150678727</v>
      </c>
      <c r="I35" s="211">
        <v>2.6076901232870053</v>
      </c>
      <c r="J35" s="211">
        <v>3.4769201643826748</v>
      </c>
      <c r="K35" s="211">
        <v>4.3461502054783434</v>
      </c>
      <c r="L35" s="211">
        <v>5.2153802465740107</v>
      </c>
      <c r="M35" s="211">
        <v>5.9107642794505457</v>
      </c>
      <c r="N35" s="211">
        <v>6.9538403287653496</v>
      </c>
      <c r="O35" s="68"/>
    </row>
    <row r="36" spans="2:15" ht="15" customHeight="1" x14ac:dyDescent="0.35">
      <c r="B36" s="243"/>
      <c r="C36" s="243"/>
      <c r="E36" s="245"/>
      <c r="F36" s="101">
        <v>175000</v>
      </c>
      <c r="G36" s="215">
        <v>1.0141017146116134</v>
      </c>
      <c r="H36" s="211">
        <v>2.8394848009125178</v>
      </c>
      <c r="I36" s="211">
        <v>3.0423051438348394</v>
      </c>
      <c r="J36" s="211">
        <v>4.0564068584464534</v>
      </c>
      <c r="K36" s="211">
        <v>5.0705085730580661</v>
      </c>
      <c r="L36" s="211">
        <v>6.0846102876696788</v>
      </c>
      <c r="M36" s="211">
        <v>6.8958916593589725</v>
      </c>
      <c r="N36" s="211">
        <v>8.1128137168929069</v>
      </c>
      <c r="O36" s="68"/>
    </row>
    <row r="37" spans="2:15" ht="15" customHeight="1" x14ac:dyDescent="0.35">
      <c r="B37" s="243"/>
      <c r="C37" s="243"/>
      <c r="E37" s="245"/>
      <c r="F37" s="101">
        <v>200000</v>
      </c>
      <c r="G37" s="215">
        <v>1.1589733881275581</v>
      </c>
      <c r="H37" s="211">
        <v>3.2451254867571633</v>
      </c>
      <c r="I37" s="211">
        <v>3.4769201643826739</v>
      </c>
      <c r="J37" s="211">
        <v>4.6358935525102325</v>
      </c>
      <c r="K37" s="211">
        <v>5.7948669406377906</v>
      </c>
      <c r="L37" s="211">
        <v>6.9538403287653479</v>
      </c>
      <c r="M37" s="211">
        <v>7.8810190392673967</v>
      </c>
      <c r="N37" s="211">
        <v>9.271787105020465</v>
      </c>
      <c r="O37" s="68"/>
    </row>
    <row r="38" spans="2:15" ht="15" customHeight="1" x14ac:dyDescent="0.35">
      <c r="B38" s="243"/>
      <c r="C38" s="243"/>
      <c r="O38" s="68"/>
    </row>
    <row r="39" spans="2:15" ht="15" customHeight="1" x14ac:dyDescent="0.35">
      <c r="B39" s="243"/>
      <c r="C39" s="243"/>
      <c r="O39" s="68"/>
    </row>
    <row r="40" spans="2:15" ht="30.5" customHeight="1" x14ac:dyDescent="0.35">
      <c r="B40" s="243"/>
      <c r="C40" s="243"/>
      <c r="E40" s="244" t="s">
        <v>156</v>
      </c>
      <c r="F40" s="244"/>
      <c r="G40" s="246" t="s">
        <v>148</v>
      </c>
      <c r="H40" s="246"/>
      <c r="I40" s="246"/>
      <c r="J40" s="246"/>
      <c r="K40" s="246"/>
      <c r="L40" s="246"/>
      <c r="M40" s="246"/>
      <c r="N40" s="246"/>
      <c r="O40" s="68"/>
    </row>
    <row r="41" spans="2:15" x14ac:dyDescent="0.35">
      <c r="B41" s="243"/>
      <c r="C41" s="243"/>
      <c r="F41" s="210">
        <f>SROI!C39</f>
        <v>2.1989700451501055</v>
      </c>
      <c r="G41" s="90">
        <v>2.5000000000000001E-2</v>
      </c>
      <c r="H41" s="117">
        <v>7.0000000000000007E-2</v>
      </c>
      <c r="I41" s="90">
        <v>7.4999999999999997E-2</v>
      </c>
      <c r="J41" s="90">
        <v>0.1</v>
      </c>
      <c r="K41" s="90">
        <v>0.125</v>
      </c>
      <c r="L41" s="90">
        <v>0.15</v>
      </c>
      <c r="M41" s="90">
        <v>0.17</v>
      </c>
      <c r="N41" s="90">
        <v>0.2</v>
      </c>
      <c r="O41" s="68"/>
    </row>
    <row r="42" spans="2:15" x14ac:dyDescent="0.35">
      <c r="B42" s="243"/>
      <c r="C42" s="243"/>
      <c r="E42" s="245" t="s">
        <v>106</v>
      </c>
      <c r="F42" s="165">
        <v>0</v>
      </c>
      <c r="G42" s="215">
        <f t="dataTable" ref="G42:N50" dt2D="1" dtr="1" r1="C8" r2="C10" ca="1"/>
        <v>0.78534644469646642</v>
      </c>
      <c r="H42" s="216">
        <v>2.1989700451501055</v>
      </c>
      <c r="I42" s="211">
        <v>2.3560393340893993</v>
      </c>
      <c r="J42" s="211">
        <v>3.1413857787858657</v>
      </c>
      <c r="K42" s="211">
        <v>3.9267322234823308</v>
      </c>
      <c r="L42" s="211">
        <v>4.7120786681787985</v>
      </c>
      <c r="M42" s="211">
        <v>5.3403558239359707</v>
      </c>
      <c r="N42" s="211">
        <v>6.2827715575717313</v>
      </c>
      <c r="O42" s="68"/>
    </row>
    <row r="43" spans="2:15" x14ac:dyDescent="0.35">
      <c r="B43" s="243"/>
      <c r="C43" s="243"/>
      <c r="E43" s="245"/>
      <c r="F43" s="163">
        <v>15.6</v>
      </c>
      <c r="G43" s="215">
        <v>0.78534644469646642</v>
      </c>
      <c r="H43" s="211">
        <v>2.1989700451501055</v>
      </c>
      <c r="I43" s="211">
        <v>2.3560393340893993</v>
      </c>
      <c r="J43" s="211">
        <v>3.1413857787858657</v>
      </c>
      <c r="K43" s="211">
        <v>3.9267322234823308</v>
      </c>
      <c r="L43" s="211">
        <v>4.7120786681787985</v>
      </c>
      <c r="M43" s="211">
        <v>5.3403558239359707</v>
      </c>
      <c r="N43" s="211">
        <v>6.2827715575717313</v>
      </c>
      <c r="O43" s="68"/>
    </row>
    <row r="44" spans="2:15" x14ac:dyDescent="0.35">
      <c r="B44" s="243"/>
      <c r="C44" s="243"/>
      <c r="E44" s="245"/>
      <c r="F44" s="163">
        <v>20</v>
      </c>
      <c r="G44" s="215">
        <v>0.78534644469646642</v>
      </c>
      <c r="H44" s="211">
        <v>2.1989700451501055</v>
      </c>
      <c r="I44" s="211">
        <v>2.3560393340893993</v>
      </c>
      <c r="J44" s="211">
        <v>3.1413857787858657</v>
      </c>
      <c r="K44" s="211">
        <v>3.9267322234823308</v>
      </c>
      <c r="L44" s="211">
        <v>4.7120786681787985</v>
      </c>
      <c r="M44" s="211">
        <v>5.3403558239359707</v>
      </c>
      <c r="N44" s="211">
        <v>6.2827715575717313</v>
      </c>
      <c r="O44" s="68"/>
    </row>
    <row r="45" spans="2:15" x14ac:dyDescent="0.35">
      <c r="B45" s="243"/>
      <c r="C45" s="243"/>
      <c r="E45" s="245"/>
      <c r="F45" s="163">
        <v>30</v>
      </c>
      <c r="G45" s="215">
        <v>0.78534644469646642</v>
      </c>
      <c r="H45" s="211">
        <v>2.1989700451501055</v>
      </c>
      <c r="I45" s="211">
        <v>2.3560393340893993</v>
      </c>
      <c r="J45" s="211">
        <v>3.1413857787858657</v>
      </c>
      <c r="K45" s="211">
        <v>3.9267322234823308</v>
      </c>
      <c r="L45" s="211">
        <v>4.7120786681787985</v>
      </c>
      <c r="M45" s="211">
        <v>5.3403558239359707</v>
      </c>
      <c r="N45" s="211">
        <v>6.2827715575717313</v>
      </c>
      <c r="O45" s="68"/>
    </row>
    <row r="46" spans="2:15" x14ac:dyDescent="0.35">
      <c r="B46" s="243"/>
      <c r="C46" s="243"/>
      <c r="E46" s="245"/>
      <c r="F46" s="165">
        <v>40.5</v>
      </c>
      <c r="G46" s="215">
        <v>0.78534644469646642</v>
      </c>
      <c r="H46" s="216">
        <v>2.1989700451501055</v>
      </c>
      <c r="I46" s="211">
        <v>2.3560393340893993</v>
      </c>
      <c r="J46" s="211">
        <v>3.1413857787858657</v>
      </c>
      <c r="K46" s="211">
        <v>3.9267322234823308</v>
      </c>
      <c r="L46" s="211">
        <v>4.7120786681787985</v>
      </c>
      <c r="M46" s="211">
        <v>5.3403558239359707</v>
      </c>
      <c r="N46" s="211">
        <v>6.2827715575717313</v>
      </c>
      <c r="O46" s="68"/>
    </row>
    <row r="47" spans="2:15" x14ac:dyDescent="0.35">
      <c r="B47" s="243"/>
      <c r="C47" s="243"/>
      <c r="E47" s="245"/>
      <c r="F47" s="163">
        <v>50</v>
      </c>
      <c r="G47" s="215">
        <v>0.78534644469646642</v>
      </c>
      <c r="H47" s="211">
        <v>2.1989700451501055</v>
      </c>
      <c r="I47" s="211">
        <v>2.3560393340893993</v>
      </c>
      <c r="J47" s="211">
        <v>3.1413857787858657</v>
      </c>
      <c r="K47" s="211">
        <v>3.9267322234823308</v>
      </c>
      <c r="L47" s="211">
        <v>4.7120786681787985</v>
      </c>
      <c r="M47" s="211">
        <v>5.3403558239359707</v>
      </c>
      <c r="N47" s="211">
        <v>6.2827715575717313</v>
      </c>
      <c r="O47" s="68"/>
    </row>
    <row r="48" spans="2:15" x14ac:dyDescent="0.35">
      <c r="B48" s="243"/>
      <c r="C48" s="243"/>
      <c r="E48" s="245"/>
      <c r="F48" s="163">
        <v>60</v>
      </c>
      <c r="G48" s="215">
        <v>0.78534644469646642</v>
      </c>
      <c r="H48" s="211">
        <v>2.1989700451501055</v>
      </c>
      <c r="I48" s="211">
        <v>2.3560393340893993</v>
      </c>
      <c r="J48" s="211">
        <v>3.1413857787858657</v>
      </c>
      <c r="K48" s="211">
        <v>3.9267322234823308</v>
      </c>
      <c r="L48" s="211">
        <v>4.7120786681787985</v>
      </c>
      <c r="M48" s="211">
        <v>5.3403558239359707</v>
      </c>
      <c r="N48" s="211">
        <v>6.2827715575717313</v>
      </c>
      <c r="O48" s="68"/>
    </row>
    <row r="49" spans="1:15" x14ac:dyDescent="0.35">
      <c r="E49" s="245"/>
      <c r="F49" s="163">
        <v>70</v>
      </c>
      <c r="G49" s="215">
        <v>0.78534644469646642</v>
      </c>
      <c r="H49" s="211">
        <v>2.1989700451501055</v>
      </c>
      <c r="I49" s="211">
        <v>2.3560393340893993</v>
      </c>
      <c r="J49" s="211">
        <v>3.1413857787858657</v>
      </c>
      <c r="K49" s="211">
        <v>3.9267322234823308</v>
      </c>
      <c r="L49" s="211">
        <v>4.7120786681787985</v>
      </c>
      <c r="M49" s="211">
        <v>5.3403558239359707</v>
      </c>
      <c r="N49" s="211">
        <v>6.2827715575717313</v>
      </c>
      <c r="O49" s="68"/>
    </row>
    <row r="50" spans="1:15" x14ac:dyDescent="0.35">
      <c r="E50" s="245"/>
      <c r="F50" s="163">
        <v>80</v>
      </c>
      <c r="G50" s="215">
        <v>0.78534644469646642</v>
      </c>
      <c r="H50" s="211">
        <v>2.1989700451501055</v>
      </c>
      <c r="I50" s="211">
        <v>2.3560393340893993</v>
      </c>
      <c r="J50" s="211">
        <v>3.1413857787858657</v>
      </c>
      <c r="K50" s="211">
        <v>3.9267322234823308</v>
      </c>
      <c r="L50" s="211">
        <v>4.7120786681787985</v>
      </c>
      <c r="M50" s="211">
        <v>5.3403558239359707</v>
      </c>
      <c r="N50" s="211">
        <v>6.2827715575717313</v>
      </c>
      <c r="O50" s="68"/>
    </row>
    <row r="51" spans="1:15" x14ac:dyDescent="0.35">
      <c r="O51" s="68"/>
    </row>
    <row r="52" spans="1:15" x14ac:dyDescent="0.35">
      <c r="B52" s="154" t="s">
        <v>60</v>
      </c>
      <c r="C52" s="72"/>
      <c r="D52" s="72"/>
      <c r="E52" s="72"/>
      <c r="F52" s="72"/>
      <c r="G52" s="72"/>
      <c r="H52" s="72"/>
      <c r="I52" s="72"/>
      <c r="J52" s="72"/>
      <c r="K52" s="72"/>
      <c r="L52" s="72"/>
      <c r="M52" s="72"/>
      <c r="N52" s="72"/>
      <c r="O52" s="73"/>
    </row>
    <row r="53" spans="1:15" x14ac:dyDescent="0.35">
      <c r="A53" s="208"/>
    </row>
  </sheetData>
  <mergeCells count="11">
    <mergeCell ref="B14:C48"/>
    <mergeCell ref="E40:F40"/>
    <mergeCell ref="G4:L4"/>
    <mergeCell ref="G5:L5"/>
    <mergeCell ref="G6:L6"/>
    <mergeCell ref="E29:E37"/>
    <mergeCell ref="G40:N40"/>
    <mergeCell ref="E42:E50"/>
    <mergeCell ref="G15:N15"/>
    <mergeCell ref="G27:N27"/>
    <mergeCell ref="E17:E24"/>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A2D49-1F47-4CF4-8A12-07F4AFCC29BD}">
  <dimension ref="A14"/>
  <sheetViews>
    <sheetView showGridLines="0" topLeftCell="A28" zoomScale="80" zoomScaleNormal="100" workbookViewId="0">
      <selection activeCell="R42" sqref="R42"/>
    </sheetView>
  </sheetViews>
  <sheetFormatPr baseColWidth="10" defaultColWidth="8.54296875" defaultRowHeight="14.5" x14ac:dyDescent="0.35"/>
  <sheetData>
    <row r="14" ht="70.400000000000006" customHeight="1"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2.xml><?xml version="1.0" encoding="utf-8"?>
<ds:datastoreItem xmlns:ds="http://schemas.openxmlformats.org/officeDocument/2006/customXml" ds:itemID="{15346AAD-619F-4906-AA8F-678B645A1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7C3E72-E6CB-413E-81E7-23613E47D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Summary</vt:lpstr>
      <vt:lpstr>ToC</vt:lpstr>
      <vt:lpstr>Model input</vt:lpstr>
      <vt:lpstr>SROI</vt:lpstr>
      <vt:lpstr>Sensitivy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2026-08-13T06:57:25Z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06e88aeb78d44f3696358a919541faad</vt:lpwstr>
  </property>
</Properties>
</file>