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3 Abgeschlossen/D_TNS01/06 Monitoring und Evaluierung/02 Chronologisch/1 SROI/"/>
    </mc:Choice>
  </mc:AlternateContent>
  <xr:revisionPtr revIDLastSave="200" documentId="8_{942194D4-0198-44DA-A6B7-1B6F0E6451AD}" xr6:coauthVersionLast="47" xr6:coauthVersionMax="47" xr10:uidLastSave="{AA4B055B-E387-435A-8B2D-98435520E3AC}"/>
  <bookViews>
    <workbookView xWindow="-110" yWindow="-110" windowWidth="19420" windowHeight="10300" firstSheet="1" activeTab="1" xr2:uid="{F53A7982-0D36-4323-82AC-A28FA0030F24}"/>
  </bookViews>
  <sheets>
    <sheet name="Deckblatt" sheetId="10" state="hidden" r:id="rId1"/>
    <sheet name="Summary" sheetId="11" r:id="rId2"/>
    <sheet name="ToC" sheetId="7" r:id="rId3"/>
    <sheet name="Model input" sheetId="6" r:id="rId4"/>
    <sheet name="SROI" sheetId="8" r:id="rId5"/>
    <sheet name="Sensitivity analysis" sheetId="9" r:id="rId6"/>
    <sheet name="Info" sheetId="1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7" i="11" l="1"/>
  <c r="C56" i="11"/>
  <c r="C92" i="8"/>
  <c r="C91" i="8"/>
  <c r="C37" i="6"/>
  <c r="G6" i="8" s="1"/>
  <c r="F5" i="8" l="1"/>
  <c r="H52" i="6" l="1"/>
  <c r="H51" i="6"/>
  <c r="G52" i="6"/>
  <c r="G51" i="6"/>
  <c r="E52" i="6"/>
  <c r="E51" i="6"/>
  <c r="D52" i="6"/>
  <c r="D51" i="6"/>
  <c r="C51" i="6"/>
  <c r="C52" i="6"/>
  <c r="I45" i="8" l="1"/>
  <c r="J45" i="8" s="1"/>
  <c r="K45" i="8" s="1"/>
  <c r="L45" i="8" s="1"/>
  <c r="M45" i="8" s="1"/>
  <c r="N45" i="8" s="1"/>
  <c r="O45" i="8" s="1"/>
  <c r="I44" i="8"/>
  <c r="J44" i="8" s="1"/>
  <c r="K44" i="8" s="1"/>
  <c r="L44" i="8" s="1"/>
  <c r="M44" i="8" s="1"/>
  <c r="N44" i="8" s="1"/>
  <c r="O44" i="8" s="1"/>
  <c r="I43" i="8"/>
  <c r="J43" i="8" s="1"/>
  <c r="K43" i="8" s="1"/>
  <c r="L43" i="8" s="1"/>
  <c r="M43" i="8" s="1"/>
  <c r="N43" i="8" s="1"/>
  <c r="O43" i="8" s="1"/>
  <c r="J34" i="8"/>
  <c r="K34" i="8" s="1"/>
  <c r="L34" i="8" s="1"/>
  <c r="M34" i="8" s="1"/>
  <c r="N34" i="8" s="1"/>
  <c r="O34" i="8" s="1"/>
  <c r="H34" i="8"/>
  <c r="G34" i="8" s="1"/>
  <c r="F16" i="8" l="1"/>
  <c r="G16" i="8" s="1"/>
  <c r="H16" i="8" s="1"/>
  <c r="I16" i="8" s="1"/>
  <c r="J16" i="8" s="1"/>
  <c r="K16" i="8" s="1"/>
  <c r="L16" i="8" s="1"/>
  <c r="M16" i="8" s="1"/>
  <c r="N16" i="8" s="1"/>
  <c r="F15" i="8"/>
  <c r="G15" i="8" s="1"/>
  <c r="H15" i="8" s="1"/>
  <c r="I15" i="8" s="1"/>
  <c r="J15" i="8" s="1"/>
  <c r="K15" i="8" s="1"/>
  <c r="L15" i="8" s="1"/>
  <c r="M15" i="8" s="1"/>
  <c r="N15" i="8" s="1"/>
  <c r="H14" i="8"/>
  <c r="I14" i="8" s="1"/>
  <c r="J14" i="8" s="1"/>
  <c r="K14" i="8" s="1"/>
  <c r="L14" i="8" s="1"/>
  <c r="M14" i="8" s="1"/>
  <c r="N14" i="8" s="1"/>
  <c r="C38" i="6"/>
  <c r="C44" i="6" l="1"/>
  <c r="K42" i="6"/>
  <c r="K44" i="6" s="1"/>
  <c r="K45" i="6" s="1"/>
  <c r="J42" i="6"/>
  <c r="J44" i="6" s="1"/>
  <c r="J45" i="6" s="1"/>
  <c r="I42" i="6"/>
  <c r="I44" i="6" s="1"/>
  <c r="I45" i="6" s="1"/>
  <c r="H42" i="6"/>
  <c r="H44" i="6" s="1"/>
  <c r="H45" i="6" s="1"/>
  <c r="G42" i="6"/>
  <c r="G44" i="6" s="1"/>
  <c r="G45" i="6" s="1"/>
  <c r="F42" i="6"/>
  <c r="F44" i="6" s="1"/>
  <c r="F45" i="6" s="1"/>
  <c r="E42" i="6"/>
  <c r="E44" i="6" s="1"/>
  <c r="E45" i="6" s="1"/>
  <c r="D42" i="6"/>
  <c r="D44" i="6" s="1"/>
  <c r="D45" i="6" s="1"/>
  <c r="C45" i="6" l="1"/>
  <c r="D16" i="9"/>
  <c r="D17" i="9"/>
  <c r="D18" i="9"/>
  <c r="H82" i="8" l="1"/>
  <c r="G82" i="8"/>
  <c r="F82" i="8"/>
  <c r="E82" i="8"/>
  <c r="D82" i="8"/>
  <c r="G74" i="8"/>
  <c r="F74" i="8"/>
  <c r="E74" i="8"/>
  <c r="D74" i="8"/>
  <c r="C74" i="8"/>
  <c r="C75" i="8" s="1"/>
  <c r="F37" i="8" l="1"/>
  <c r="E8" i="8"/>
  <c r="O65" i="8"/>
  <c r="D75" i="8"/>
  <c r="E75" i="8"/>
  <c r="F75" i="8"/>
  <c r="G75" i="8"/>
  <c r="H75" i="8"/>
  <c r="D83" i="8"/>
  <c r="E83" i="8"/>
  <c r="F83" i="8"/>
  <c r="G83" i="8"/>
  <c r="H83" i="8"/>
  <c r="H5" i="8"/>
  <c r="I5" i="8" s="1"/>
  <c r="J5" i="8" s="1"/>
  <c r="K5" i="8" s="1"/>
  <c r="L5" i="8" s="1"/>
  <c r="M5" i="8" s="1"/>
  <c r="N5" i="8" s="1"/>
  <c r="AD5" i="8"/>
  <c r="T6" i="8"/>
  <c r="U7" i="8" s="1"/>
  <c r="V8" i="8" s="1"/>
  <c r="W9" i="8" s="1"/>
  <c r="X10" i="8" s="1"/>
  <c r="Y11" i="8" s="1"/>
  <c r="Z12" i="8" s="1"/>
  <c r="AA13" i="8" s="1"/>
  <c r="AB14" i="8" s="1"/>
  <c r="T7" i="8"/>
  <c r="U8" i="8" s="1"/>
  <c r="V9" i="8" s="1"/>
  <c r="W10" i="8" s="1"/>
  <c r="X11" i="8" s="1"/>
  <c r="Y12" i="8" s="1"/>
  <c r="Z13" i="8" s="1"/>
  <c r="AA14" i="8" s="1"/>
  <c r="T8" i="8"/>
  <c r="U9" i="8" s="1"/>
  <c r="V10" i="8" s="1"/>
  <c r="W11" i="8" s="1"/>
  <c r="X12" i="8" s="1"/>
  <c r="Y13" i="8" s="1"/>
  <c r="Z14" i="8" s="1"/>
  <c r="T9" i="8"/>
  <c r="U10" i="8" s="1"/>
  <c r="V11" i="8" s="1"/>
  <c r="W12" i="8" s="1"/>
  <c r="X13" i="8" s="1"/>
  <c r="Y14" i="8" s="1"/>
  <c r="T10" i="8"/>
  <c r="U11" i="8" s="1"/>
  <c r="V12" i="8" s="1"/>
  <c r="W13" i="8" s="1"/>
  <c r="X14" i="8" s="1"/>
  <c r="T11" i="8"/>
  <c r="U12" i="8" s="1"/>
  <c r="V13" i="8" s="1"/>
  <c r="W14" i="8" s="1"/>
  <c r="T12" i="8"/>
  <c r="U13" i="8" s="1"/>
  <c r="V14" i="8" s="1"/>
  <c r="E13" i="8"/>
  <c r="T13" i="8"/>
  <c r="U14" i="8" s="1"/>
  <c r="T14" i="8"/>
  <c r="E17" i="8"/>
  <c r="T5" i="8" s="1"/>
  <c r="U35" i="8"/>
  <c r="V36" i="8" s="1"/>
  <c r="W37" i="8" s="1"/>
  <c r="X38" i="8" s="1"/>
  <c r="Y39" i="8" s="1"/>
  <c r="Z40" i="8" s="1"/>
  <c r="AA41" i="8" s="1"/>
  <c r="AB42" i="8" s="1"/>
  <c r="U36" i="8"/>
  <c r="V37" i="8" s="1"/>
  <c r="W38" i="8" s="1"/>
  <c r="X39" i="8" s="1"/>
  <c r="Y40" i="8" s="1"/>
  <c r="Z41" i="8" s="1"/>
  <c r="AA42" i="8" s="1"/>
  <c r="U37" i="8"/>
  <c r="V38" i="8" s="1"/>
  <c r="W39" i="8" s="1"/>
  <c r="X40" i="8" s="1"/>
  <c r="Y41" i="8" s="1"/>
  <c r="Z42" i="8" s="1"/>
  <c r="U38" i="8"/>
  <c r="V39" i="8" s="1"/>
  <c r="W40" i="8" s="1"/>
  <c r="X41" i="8" s="1"/>
  <c r="Y42" i="8" s="1"/>
  <c r="U39" i="8"/>
  <c r="V40" i="8" s="1"/>
  <c r="W41" i="8" s="1"/>
  <c r="X42" i="8" s="1"/>
  <c r="U40" i="8"/>
  <c r="V41" i="8" s="1"/>
  <c r="W42" i="8" s="1"/>
  <c r="U41" i="8"/>
  <c r="V42" i="8" s="1"/>
  <c r="U42" i="8"/>
  <c r="F46" i="8"/>
  <c r="G59" i="6"/>
  <c r="E59" i="6"/>
  <c r="D59" i="6"/>
  <c r="C59" i="6"/>
  <c r="G58" i="6"/>
  <c r="E58" i="6"/>
  <c r="D58" i="6"/>
  <c r="C58" i="6"/>
  <c r="F57" i="6"/>
  <c r="L57" i="6" s="1"/>
  <c r="F36" i="8"/>
  <c r="E7" i="8"/>
  <c r="F50" i="6"/>
  <c r="F6" i="8"/>
  <c r="C33" i="6"/>
  <c r="C32" i="6"/>
  <c r="T15" i="8" l="1"/>
  <c r="E18" i="8" s="1"/>
  <c r="G8" i="8"/>
  <c r="F51" i="8"/>
  <c r="F52" i="8" s="1"/>
  <c r="G35" i="8"/>
  <c r="G37" i="8" s="1"/>
  <c r="I35" i="8"/>
  <c r="I37" i="8" s="1"/>
  <c r="N50" i="6"/>
  <c r="K50" i="6"/>
  <c r="I50" i="6"/>
  <c r="J50" i="6"/>
  <c r="L50" i="6"/>
  <c r="F52" i="6"/>
  <c r="M50" i="6"/>
  <c r="F51" i="6"/>
  <c r="F38" i="8"/>
  <c r="F39" i="8" s="1"/>
  <c r="F17" i="8"/>
  <c r="G46" i="8"/>
  <c r="G51" i="8" s="1"/>
  <c r="M57" i="6"/>
  <c r="N57" i="6"/>
  <c r="F59" i="6"/>
  <c r="L59" i="6" s="1"/>
  <c r="H35" i="8"/>
  <c r="H36" i="8" s="1"/>
  <c r="E9" i="8"/>
  <c r="E10" i="8" s="1"/>
  <c r="U6" i="8"/>
  <c r="V7" i="8" s="1"/>
  <c r="W8" i="8" s="1"/>
  <c r="X9" i="8" s="1"/>
  <c r="Y10" i="8" s="1"/>
  <c r="Z11" i="8" s="1"/>
  <c r="AA12" i="8" s="1"/>
  <c r="AB13" i="8" s="1"/>
  <c r="AC14" i="8" s="1"/>
  <c r="H57" i="6"/>
  <c r="E22" i="8"/>
  <c r="E23" i="8" s="1"/>
  <c r="I57" i="6"/>
  <c r="K57" i="6"/>
  <c r="J57" i="6"/>
  <c r="F58" i="6"/>
  <c r="M58" i="6" s="1"/>
  <c r="U34" i="8"/>
  <c r="E70" i="6"/>
  <c r="E69" i="6"/>
  <c r="E68" i="6"/>
  <c r="E67" i="6"/>
  <c r="C13" i="6"/>
  <c r="H76" i="8" s="1"/>
  <c r="H77" i="8" s="1"/>
  <c r="H78" i="8" s="1"/>
  <c r="F22" i="8" l="1"/>
  <c r="F23" i="8" s="1"/>
  <c r="G36" i="8"/>
  <c r="K51" i="6"/>
  <c r="L51" i="6"/>
  <c r="N51" i="6"/>
  <c r="M51" i="6"/>
  <c r="J51" i="6"/>
  <c r="I51" i="6"/>
  <c r="M52" i="6"/>
  <c r="J52" i="6"/>
  <c r="I52" i="6"/>
  <c r="K52" i="6"/>
  <c r="L52" i="6"/>
  <c r="N52" i="6"/>
  <c r="U5" i="8"/>
  <c r="V6" i="8" s="1"/>
  <c r="W7" i="8" s="1"/>
  <c r="X8" i="8" s="1"/>
  <c r="Y9" i="8" s="1"/>
  <c r="Z10" i="8" s="1"/>
  <c r="AA11" i="8" s="1"/>
  <c r="AB12" i="8" s="1"/>
  <c r="AC13" i="8" s="1"/>
  <c r="AD14" i="8" s="1"/>
  <c r="V34" i="8"/>
  <c r="W35" i="8" s="1"/>
  <c r="X36" i="8" s="1"/>
  <c r="Y37" i="8" s="1"/>
  <c r="Z38" i="8" s="1"/>
  <c r="AA39" i="8" s="1"/>
  <c r="AB40" i="8" s="1"/>
  <c r="AC41" i="8" s="1"/>
  <c r="AD42" i="8" s="1"/>
  <c r="H59" i="6"/>
  <c r="I38" i="8" s="1"/>
  <c r="G38" i="8"/>
  <c r="K59" i="6"/>
  <c r="H17" i="8"/>
  <c r="H22" i="8" s="1"/>
  <c r="H23" i="8" s="1"/>
  <c r="H58" i="6"/>
  <c r="J59" i="6"/>
  <c r="N59" i="6"/>
  <c r="M59" i="6"/>
  <c r="G7" i="8"/>
  <c r="G52" i="8"/>
  <c r="I59" i="6"/>
  <c r="I36" i="8"/>
  <c r="H37" i="8"/>
  <c r="H38" i="8" s="1"/>
  <c r="H39" i="8" s="1"/>
  <c r="H40" i="8" s="1"/>
  <c r="N58" i="6"/>
  <c r="L58" i="6"/>
  <c r="G9" i="8"/>
  <c r="H6" i="8"/>
  <c r="H84" i="8"/>
  <c r="H85" i="8" s="1"/>
  <c r="H86" i="8" s="1"/>
  <c r="E20" i="8"/>
  <c r="E21" i="8" s="1"/>
  <c r="E19" i="8"/>
  <c r="G76" i="8"/>
  <c r="G77" i="8" s="1"/>
  <c r="G78" i="8" s="1"/>
  <c r="D84" i="8"/>
  <c r="D85" i="8" s="1"/>
  <c r="D86" i="8" s="1"/>
  <c r="V35" i="8"/>
  <c r="W36" i="8" s="1"/>
  <c r="X37" i="8" s="1"/>
  <c r="Y38" i="8" s="1"/>
  <c r="Z39" i="8" s="1"/>
  <c r="AA40" i="8" s="1"/>
  <c r="AB41" i="8" s="1"/>
  <c r="AC42" i="8" s="1"/>
  <c r="U43" i="8"/>
  <c r="F47" i="8" s="1"/>
  <c r="G17" i="8"/>
  <c r="G22" i="8" s="1"/>
  <c r="G23" i="8" s="1"/>
  <c r="E76" i="8"/>
  <c r="E77" i="8" s="1"/>
  <c r="E78" i="8" s="1"/>
  <c r="F7" i="8"/>
  <c r="F8" i="8"/>
  <c r="F9" i="8" s="1"/>
  <c r="G84" i="8"/>
  <c r="G85" i="8" s="1"/>
  <c r="G86" i="8" s="1"/>
  <c r="J58" i="6"/>
  <c r="I58" i="6"/>
  <c r="I17" i="8"/>
  <c r="I22" i="8" s="1"/>
  <c r="K58" i="6"/>
  <c r="F40" i="8"/>
  <c r="E84" i="8"/>
  <c r="E85" i="8" s="1"/>
  <c r="E86" i="8" s="1"/>
  <c r="F84" i="8"/>
  <c r="F85" i="8" s="1"/>
  <c r="F86" i="8" s="1"/>
  <c r="D76" i="8"/>
  <c r="D77" i="8" s="1"/>
  <c r="D78" i="8" s="1"/>
  <c r="F76" i="8"/>
  <c r="F77" i="8" s="1"/>
  <c r="F78" i="8" s="1"/>
  <c r="C76" i="8"/>
  <c r="C77" i="8" s="1"/>
  <c r="C78" i="8" s="1"/>
  <c r="J35" i="8"/>
  <c r="H46" i="8"/>
  <c r="J17" i="8"/>
  <c r="J22" i="8" s="1"/>
  <c r="G39" i="8" l="1"/>
  <c r="G40" i="8" s="1"/>
  <c r="G41" i="8" s="1"/>
  <c r="G42" i="8" s="1"/>
  <c r="U15" i="8"/>
  <c r="F18" i="8" s="1"/>
  <c r="F20" i="8" s="1"/>
  <c r="F21" i="8" s="1"/>
  <c r="V5" i="8"/>
  <c r="W6" i="8" s="1"/>
  <c r="X7" i="8" s="1"/>
  <c r="Y8" i="8" s="1"/>
  <c r="Z9" i="8" s="1"/>
  <c r="AA10" i="8" s="1"/>
  <c r="AB11" i="8" s="1"/>
  <c r="AC12" i="8" s="1"/>
  <c r="AD13" i="8" s="1"/>
  <c r="E24" i="8"/>
  <c r="E25" i="8" s="1"/>
  <c r="E26" i="8" s="1"/>
  <c r="W5" i="8"/>
  <c r="X6" i="8" s="1"/>
  <c r="Y7" i="8" s="1"/>
  <c r="Z8" i="8" s="1"/>
  <c r="AA9" i="8" s="1"/>
  <c r="AB10" i="8" s="1"/>
  <c r="AC11" i="8" s="1"/>
  <c r="AD12" i="8" s="1"/>
  <c r="I23" i="8"/>
  <c r="J23" i="8"/>
  <c r="I39" i="8"/>
  <c r="I40" i="8" s="1"/>
  <c r="G10" i="8"/>
  <c r="G11" i="8" s="1"/>
  <c r="G12" i="8" s="1"/>
  <c r="G13" i="8" s="1"/>
  <c r="X5" i="8"/>
  <c r="Y6" i="8" s="1"/>
  <c r="Z7" i="8" s="1"/>
  <c r="AA8" i="8" s="1"/>
  <c r="AB9" i="8" s="1"/>
  <c r="AC10" i="8" s="1"/>
  <c r="AD11" i="8" s="1"/>
  <c r="V43" i="8"/>
  <c r="G47" i="8" s="1"/>
  <c r="F10" i="8"/>
  <c r="F11" i="8" s="1"/>
  <c r="F12" i="8" s="1"/>
  <c r="F13" i="8" s="1"/>
  <c r="C89" i="8"/>
  <c r="C88" i="8"/>
  <c r="H8" i="8"/>
  <c r="H9" i="8" s="1"/>
  <c r="H7" i="8"/>
  <c r="F41" i="8"/>
  <c r="F42" i="8" s="1"/>
  <c r="F48" i="8"/>
  <c r="F49" i="8"/>
  <c r="F50" i="8" s="1"/>
  <c r="I6" i="8"/>
  <c r="K35" i="8"/>
  <c r="W34" i="8"/>
  <c r="H51" i="8"/>
  <c r="H52" i="8" s="1"/>
  <c r="H41" i="8"/>
  <c r="H42" i="8" s="1"/>
  <c r="J36" i="8"/>
  <c r="J37" i="8"/>
  <c r="J38" i="8" s="1"/>
  <c r="I46" i="8"/>
  <c r="K17" i="8"/>
  <c r="K22" i="8" s="1"/>
  <c r="K23" i="8" s="1"/>
  <c r="Y5" i="8"/>
  <c r="V15" i="8" l="1"/>
  <c r="G18" i="8" s="1"/>
  <c r="G20" i="8" s="1"/>
  <c r="G21" i="8" s="1"/>
  <c r="F19" i="8"/>
  <c r="F24" i="8" s="1"/>
  <c r="D75" i="11"/>
  <c r="E28" i="8"/>
  <c r="H10" i="8"/>
  <c r="H11" i="8" s="1"/>
  <c r="H12" i="8" s="1"/>
  <c r="H13" i="8" s="1"/>
  <c r="G48" i="8"/>
  <c r="G49" i="8"/>
  <c r="G50" i="8" s="1"/>
  <c r="C90" i="8"/>
  <c r="C93" i="8" s="1"/>
  <c r="C58" i="11" s="1"/>
  <c r="D72" i="11"/>
  <c r="J6" i="8"/>
  <c r="I8" i="8"/>
  <c r="I9" i="8" s="1"/>
  <c r="I7" i="8"/>
  <c r="F53" i="8"/>
  <c r="E27" i="8"/>
  <c r="E30" i="8" s="1"/>
  <c r="E65" i="8" s="1"/>
  <c r="E67" i="8" s="1"/>
  <c r="E29" i="8"/>
  <c r="X15" i="8"/>
  <c r="I18" i="8" s="1"/>
  <c r="I20" i="8" s="1"/>
  <c r="I21" i="8" s="1"/>
  <c r="Y15" i="8"/>
  <c r="J18" i="8" s="1"/>
  <c r="K37" i="8"/>
  <c r="K38" i="8" s="1"/>
  <c r="K36" i="8"/>
  <c r="L35" i="8"/>
  <c r="I51" i="8"/>
  <c r="I52" i="8" s="1"/>
  <c r="X34" i="8"/>
  <c r="J46" i="8"/>
  <c r="J39" i="8"/>
  <c r="I41" i="8"/>
  <c r="I42" i="8" s="1"/>
  <c r="W15" i="8"/>
  <c r="H18" i="8" s="1"/>
  <c r="W43" i="8"/>
  <c r="H47" i="8" s="1"/>
  <c r="X35" i="8"/>
  <c r="Y36" i="8" s="1"/>
  <c r="Z37" i="8" s="1"/>
  <c r="AA38" i="8" s="1"/>
  <c r="AB39" i="8" s="1"/>
  <c r="AC40" i="8" s="1"/>
  <c r="AD41" i="8" s="1"/>
  <c r="L17" i="8"/>
  <c r="L22" i="8" s="1"/>
  <c r="L23" i="8" s="1"/>
  <c r="Z5" i="8"/>
  <c r="Z6" i="8"/>
  <c r="AA7" i="8" s="1"/>
  <c r="AB8" i="8" s="1"/>
  <c r="AC9" i="8" s="1"/>
  <c r="AD10" i="8" s="1"/>
  <c r="G19" i="8" l="1"/>
  <c r="G24" i="8" s="1"/>
  <c r="G25" i="8" s="1"/>
  <c r="G26" i="8" s="1"/>
  <c r="D78" i="11"/>
  <c r="G53" i="8"/>
  <c r="C94" i="8"/>
  <c r="F54" i="8"/>
  <c r="F57" i="8"/>
  <c r="I10" i="8"/>
  <c r="I11" i="8" s="1"/>
  <c r="I12" i="8" s="1"/>
  <c r="I13" i="8" s="1"/>
  <c r="K6" i="8"/>
  <c r="J7" i="8"/>
  <c r="J8" i="8"/>
  <c r="J9" i="8" s="1"/>
  <c r="Z15" i="8"/>
  <c r="K18" i="8" s="1"/>
  <c r="I19" i="8"/>
  <c r="I24" i="8" s="1"/>
  <c r="K46" i="8"/>
  <c r="F25" i="8"/>
  <c r="F26" i="8" s="1"/>
  <c r="F28" i="8"/>
  <c r="H20" i="8"/>
  <c r="H21" i="8" s="1"/>
  <c r="H19" i="8"/>
  <c r="X43" i="8"/>
  <c r="I47" i="8" s="1"/>
  <c r="Y35" i="8"/>
  <c r="Z36" i="8" s="1"/>
  <c r="AA37" i="8" s="1"/>
  <c r="AB38" i="8" s="1"/>
  <c r="AC39" i="8" s="1"/>
  <c r="AD40" i="8" s="1"/>
  <c r="J19" i="8"/>
  <c r="J20" i="8"/>
  <c r="J21" i="8" s="1"/>
  <c r="M35" i="8"/>
  <c r="L36" i="8"/>
  <c r="L37" i="8"/>
  <c r="L38" i="8" s="1"/>
  <c r="J51" i="8"/>
  <c r="J52" i="8" s="1"/>
  <c r="Y34" i="8"/>
  <c r="H49" i="8"/>
  <c r="H50" i="8" s="1"/>
  <c r="H48" i="8"/>
  <c r="J40" i="8"/>
  <c r="K39" i="8"/>
  <c r="AA6" i="8"/>
  <c r="AB7" i="8" s="1"/>
  <c r="AC8" i="8" s="1"/>
  <c r="AD9" i="8" s="1"/>
  <c r="AA5" i="8"/>
  <c r="N17" i="8"/>
  <c r="N22" i="8" s="1"/>
  <c r="N23" i="8" s="1"/>
  <c r="M17" i="8"/>
  <c r="M22" i="8" s="1"/>
  <c r="M23" i="8" s="1"/>
  <c r="G28" i="8" l="1"/>
  <c r="H53" i="8"/>
  <c r="H57" i="8" s="1"/>
  <c r="G54" i="8"/>
  <c r="G57" i="8"/>
  <c r="J10" i="8"/>
  <c r="J11" i="8" s="1"/>
  <c r="J12" i="8" s="1"/>
  <c r="J13" i="8" s="1"/>
  <c r="L6" i="8"/>
  <c r="K8" i="8"/>
  <c r="K9" i="8" s="1"/>
  <c r="K7" i="8"/>
  <c r="J24" i="8"/>
  <c r="J25" i="8" s="1"/>
  <c r="J26" i="8" s="1"/>
  <c r="H24" i="8"/>
  <c r="H25" i="8" s="1"/>
  <c r="H26" i="8" s="1"/>
  <c r="F55" i="8"/>
  <c r="F56" i="8" s="1"/>
  <c r="F58" i="8"/>
  <c r="AA15" i="8"/>
  <c r="L18" i="8" s="1"/>
  <c r="L39" i="8"/>
  <c r="I25" i="8"/>
  <c r="I26" i="8" s="1"/>
  <c r="I28" i="8"/>
  <c r="G27" i="8"/>
  <c r="G30" i="8" s="1"/>
  <c r="G65" i="8" s="1"/>
  <c r="G29" i="8"/>
  <c r="J41" i="8"/>
  <c r="J42" i="8" s="1"/>
  <c r="K19" i="8"/>
  <c r="K20" i="8"/>
  <c r="K21" i="8" s="1"/>
  <c r="O35" i="8"/>
  <c r="N35" i="8"/>
  <c r="F27" i="8"/>
  <c r="F29" i="8"/>
  <c r="K40" i="8"/>
  <c r="Y43" i="8"/>
  <c r="J47" i="8" s="1"/>
  <c r="Z35" i="8"/>
  <c r="AA36" i="8" s="1"/>
  <c r="AB37" i="8" s="1"/>
  <c r="AC38" i="8" s="1"/>
  <c r="AD39" i="8" s="1"/>
  <c r="M37" i="8"/>
  <c r="M38" i="8" s="1"/>
  <c r="M36" i="8"/>
  <c r="K51" i="8"/>
  <c r="K52" i="8" s="1"/>
  <c r="Z34" i="8"/>
  <c r="I49" i="8"/>
  <c r="I50" i="8" s="1"/>
  <c r="I48" i="8"/>
  <c r="L46" i="8"/>
  <c r="AC5" i="8"/>
  <c r="AB5" i="8"/>
  <c r="AB6" i="8"/>
  <c r="AC7" i="8" s="1"/>
  <c r="AD8" i="8" s="1"/>
  <c r="H54" i="8" l="1"/>
  <c r="H55" i="8" s="1"/>
  <c r="H56" i="8" s="1"/>
  <c r="H59" i="8" s="1"/>
  <c r="H66" i="8" s="1"/>
  <c r="G58" i="8"/>
  <c r="G55" i="8"/>
  <c r="G56" i="8" s="1"/>
  <c r="G59" i="8" s="1"/>
  <c r="G66" i="8" s="1"/>
  <c r="G67" i="8" s="1"/>
  <c r="K10" i="8"/>
  <c r="K11" i="8" s="1"/>
  <c r="K12" i="8" s="1"/>
  <c r="K13" i="8" s="1"/>
  <c r="F59" i="8"/>
  <c r="H28" i="8"/>
  <c r="J28" i="8"/>
  <c r="L8" i="8"/>
  <c r="L9" i="8" s="1"/>
  <c r="L7" i="8"/>
  <c r="M6" i="8"/>
  <c r="N6" i="8"/>
  <c r="I53" i="8"/>
  <c r="I57" i="8" s="1"/>
  <c r="K24" i="8"/>
  <c r="J49" i="8"/>
  <c r="J50" i="8" s="1"/>
  <c r="J48" i="8"/>
  <c r="I27" i="8"/>
  <c r="I30" i="8" s="1"/>
  <c r="I65" i="8" s="1"/>
  <c r="I29" i="8"/>
  <c r="L19" i="8"/>
  <c r="L20" i="8"/>
  <c r="L21" i="8" s="1"/>
  <c r="K41" i="8"/>
  <c r="K42" i="8" s="1"/>
  <c r="Z43" i="8"/>
  <c r="K47" i="8" s="1"/>
  <c r="AA35" i="8"/>
  <c r="AB36" i="8" s="1"/>
  <c r="AC37" i="8" s="1"/>
  <c r="AD38" i="8" s="1"/>
  <c r="H27" i="8"/>
  <c r="H30" i="8" s="1"/>
  <c r="H65" i="8" s="1"/>
  <c r="H29" i="8"/>
  <c r="F30" i="8"/>
  <c r="L40" i="8"/>
  <c r="M46" i="8"/>
  <c r="AB15" i="8"/>
  <c r="M18" i="8" s="1"/>
  <c r="M39" i="8"/>
  <c r="N36" i="8"/>
  <c r="N37" i="8"/>
  <c r="N38" i="8" s="1"/>
  <c r="L51" i="8"/>
  <c r="L52" i="8" s="1"/>
  <c r="AA34" i="8"/>
  <c r="O36" i="8"/>
  <c r="O37" i="8"/>
  <c r="O38" i="8" s="1"/>
  <c r="J27" i="8"/>
  <c r="J30" i="8" s="1"/>
  <c r="J65" i="8" s="1"/>
  <c r="J29" i="8"/>
  <c r="AD6" i="8"/>
  <c r="AC6" i="8"/>
  <c r="AD7" i="8" s="1"/>
  <c r="H58" i="8" l="1"/>
  <c r="L10" i="8"/>
  <c r="L11" i="8" s="1"/>
  <c r="L12" i="8" s="1"/>
  <c r="L13" i="8" s="1"/>
  <c r="M8" i="8"/>
  <c r="M9" i="8" s="1"/>
  <c r="M7" i="8"/>
  <c r="F66" i="8"/>
  <c r="AD15" i="8"/>
  <c r="N39" i="8"/>
  <c r="N40" i="8" s="1"/>
  <c r="N8" i="8"/>
  <c r="N9" i="8" s="1"/>
  <c r="N7" i="8"/>
  <c r="I54" i="8"/>
  <c r="I58" i="8" s="1"/>
  <c r="AC15" i="8"/>
  <c r="N18" i="8" s="1"/>
  <c r="K25" i="8"/>
  <c r="K26" i="8" s="1"/>
  <c r="K28" i="8"/>
  <c r="M20" i="8"/>
  <c r="M21" i="8" s="1"/>
  <c r="M19" i="8"/>
  <c r="M51" i="8"/>
  <c r="M52" i="8" s="1"/>
  <c r="AB34" i="8"/>
  <c r="F65" i="8"/>
  <c r="L24" i="8"/>
  <c r="H67" i="8"/>
  <c r="J53" i="8"/>
  <c r="K48" i="8"/>
  <c r="K49" i="8"/>
  <c r="K50" i="8" s="1"/>
  <c r="M40" i="8"/>
  <c r="O39" i="8"/>
  <c r="O46" i="8"/>
  <c r="N46" i="8"/>
  <c r="AA43" i="8"/>
  <c r="L47" i="8" s="1"/>
  <c r="AB35" i="8"/>
  <c r="AC36" i="8" s="1"/>
  <c r="AD37" i="8" s="1"/>
  <c r="L41" i="8"/>
  <c r="L42" i="8" s="1"/>
  <c r="N10" i="8" l="1"/>
  <c r="N11" i="8" s="1"/>
  <c r="N12" i="8" s="1"/>
  <c r="N13" i="8" s="1"/>
  <c r="M10" i="8"/>
  <c r="M11" i="8" s="1"/>
  <c r="M12" i="8" s="1"/>
  <c r="M13" i="8" s="1"/>
  <c r="I55" i="8"/>
  <c r="I56" i="8" s="1"/>
  <c r="K27" i="8"/>
  <c r="K29" i="8"/>
  <c r="F67" i="8"/>
  <c r="K53" i="8"/>
  <c r="J54" i="8"/>
  <c r="J57" i="8"/>
  <c r="N51" i="8"/>
  <c r="N52" i="8" s="1"/>
  <c r="AC34" i="8"/>
  <c r="AB43" i="8"/>
  <c r="M47" i="8" s="1"/>
  <c r="AC35" i="8"/>
  <c r="AD36" i="8" s="1"/>
  <c r="N20" i="8"/>
  <c r="N21" i="8" s="1"/>
  <c r="N19" i="8"/>
  <c r="O51" i="8"/>
  <c r="O52" i="8" s="1"/>
  <c r="AD34" i="8"/>
  <c r="O40" i="8"/>
  <c r="N41" i="8"/>
  <c r="N42" i="8" s="1"/>
  <c r="M24" i="8"/>
  <c r="L48" i="8"/>
  <c r="L49" i="8"/>
  <c r="L50" i="8" s="1"/>
  <c r="L25" i="8"/>
  <c r="L26" i="8" s="1"/>
  <c r="L28" i="8"/>
  <c r="M41" i="8"/>
  <c r="M42" i="8" s="1"/>
  <c r="I59" i="8" l="1"/>
  <c r="N24" i="8"/>
  <c r="N25" i="8" s="1"/>
  <c r="N26" i="8" s="1"/>
  <c r="K30" i="8"/>
  <c r="M25" i="8"/>
  <c r="M26" i="8" s="1"/>
  <c r="M28" i="8"/>
  <c r="J55" i="8"/>
  <c r="J56" i="8" s="1"/>
  <c r="J59" i="8" s="1"/>
  <c r="J66" i="8" s="1"/>
  <c r="J67" i="8" s="1"/>
  <c r="J58" i="8"/>
  <c r="G54" i="11"/>
  <c r="L27" i="8"/>
  <c r="L30" i="8" s="1"/>
  <c r="L65" i="8" s="1"/>
  <c r="L29" i="8"/>
  <c r="K54" i="8"/>
  <c r="K57" i="8"/>
  <c r="O41" i="8"/>
  <c r="O42" i="8" s="1"/>
  <c r="H54" i="11" s="1"/>
  <c r="M49" i="8"/>
  <c r="M50" i="8" s="1"/>
  <c r="M48" i="8"/>
  <c r="L53" i="8"/>
  <c r="AC43" i="8"/>
  <c r="N47" i="8" s="1"/>
  <c r="AD35" i="8"/>
  <c r="AD43" i="8" s="1"/>
  <c r="N28" i="8" l="1"/>
  <c r="I66" i="8"/>
  <c r="M53" i="8"/>
  <c r="M57" i="8" s="1"/>
  <c r="K65" i="8"/>
  <c r="N49" i="8"/>
  <c r="N50" i="8" s="1"/>
  <c r="N48" i="8"/>
  <c r="L54" i="8"/>
  <c r="L57" i="8"/>
  <c r="K55" i="8"/>
  <c r="K56" i="8" s="1"/>
  <c r="K59" i="8" s="1"/>
  <c r="K66" i="8" s="1"/>
  <c r="K58" i="8"/>
  <c r="N27" i="8"/>
  <c r="N30" i="8" s="1"/>
  <c r="N65" i="8" s="1"/>
  <c r="N29" i="8"/>
  <c r="O47" i="8"/>
  <c r="M27" i="8"/>
  <c r="M30" i="8" s="1"/>
  <c r="M65" i="8" s="1"/>
  <c r="M29" i="8"/>
  <c r="M54" i="8" l="1"/>
  <c r="M55" i="8" s="1"/>
  <c r="M56" i="8" s="1"/>
  <c r="M59" i="8" s="1"/>
  <c r="M66" i="8" s="1"/>
  <c r="M67" i="8" s="1"/>
  <c r="K67" i="8"/>
  <c r="I67" i="8"/>
  <c r="C104" i="8"/>
  <c r="C53" i="11" s="1"/>
  <c r="C98" i="8"/>
  <c r="G55" i="11"/>
  <c r="O49" i="8"/>
  <c r="O50" i="8" s="1"/>
  <c r="O48" i="8"/>
  <c r="L55" i="8"/>
  <c r="L56" i="8" s="1"/>
  <c r="L59" i="8" s="1"/>
  <c r="L66" i="8" s="1"/>
  <c r="L67" i="8" s="1"/>
  <c r="L58" i="8"/>
  <c r="N53" i="8"/>
  <c r="D73" i="11" l="1"/>
  <c r="C112" i="8"/>
  <c r="C23" i="11" s="1"/>
  <c r="M58" i="8"/>
  <c r="C99" i="8"/>
  <c r="D74" i="11" s="1"/>
  <c r="O53" i="8"/>
  <c r="O54" i="8" s="1"/>
  <c r="N54" i="8"/>
  <c r="N57" i="8"/>
  <c r="O57" i="8" l="1"/>
  <c r="C108" i="8" s="1"/>
  <c r="N55" i="8"/>
  <c r="N56" i="8" s="1"/>
  <c r="N59" i="8" s="1"/>
  <c r="N58" i="8"/>
  <c r="O55" i="8"/>
  <c r="O56" i="8" s="1"/>
  <c r="O58" i="8"/>
  <c r="O59" i="8" l="1"/>
  <c r="O66" i="8" s="1"/>
  <c r="O67" i="8" s="1"/>
  <c r="H55" i="11"/>
  <c r="N66" i="8"/>
  <c r="C105" i="8" l="1"/>
  <c r="C54" i="11" s="1"/>
  <c r="N67" i="8"/>
  <c r="C102" i="8" s="1"/>
  <c r="C114" i="8" s="1"/>
  <c r="C100" i="8"/>
  <c r="C113" i="8" s="1"/>
  <c r="C101" i="8" l="1"/>
  <c r="D77" i="11" s="1"/>
  <c r="C24" i="11"/>
  <c r="D76" i="11"/>
  <c r="C103" i="8"/>
  <c r="D80" i="11" s="1"/>
  <c r="D79" i="11"/>
  <c r="C106" i="8"/>
  <c r="C107" i="8" s="1"/>
  <c r="C59" i="11" l="1"/>
  <c r="C55" i="11"/>
  <c r="C20" i="11"/>
  <c r="C12" i="9"/>
  <c r="F37" i="9" l="1"/>
  <c r="E48" i="9"/>
  <c r="E2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tc={3F1013A5-A04C-4CB8-854B-C3206E2A9D53}</author>
    <author>tc={A989DCF2-79FC-485E-80B0-09E9B9929C71}</author>
  </authors>
  <commentList>
    <comment ref="B30" authorId="0" shapeId="0" xr:uid="{3F1013A5-A04C-4CB8-854B-C3206E2A9D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0nly 50% of expected yield effect of stumping materialize</t>
      </text>
    </comment>
    <comment ref="B31" authorId="1" shapeId="0" xr:uid="{A989DCF2-79FC-485E-80B0-09E9B9929C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Average coffee price increases by 30% or yield effect of adopting at least 4 practices increases to 30%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tc={21ADC157-EA68-47DD-9C1E-5723C1E4E3F6}</author>
  </authors>
  <commentList>
    <comment ref="B7" authorId="0" shapeId="0" xr:uid="{21ADC157-EA68-47DD-9C1E-5723C1E4E3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We choose as year of analysis 2021 to be able to allow for comparisons with latest international poverty lines.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tc={0FDF0074-0F83-4ED3-B44E-AA3145D7A02A}</author>
    <author>tc={4F34A564-927B-4337-B0EE-35AC8B71233C}</author>
    <author>tc={9721723E-1274-437F-864E-ACBFFC2F8E11}</author>
    <author>tc={5DB30FA3-E9F5-4D5C-849F-60DB562AC590}</author>
    <author>tc={498DE4F1-4622-49B4-A1A3-9CF92F4ABDBC}</author>
    <author>tc={509A70AD-A0D5-4351-A2F0-256814C27F0B}</author>
    <author>tc={D6621494-8BA6-4136-82B8-420AE52FDD57}</author>
    <author>tc={FAB66F13-4CFB-4641-8B7F-55A95A4E2639}</author>
    <author>tc={6A6A024B-77A2-4528-A30A-B1EF1B40CDAD}</author>
    <author>tc={7D12B111-BA18-4133-ACBF-AF1C0B09CA93}</author>
    <author>tc={AFDB6278-9EF1-4A34-944F-9110C65D4405}</author>
    <author>tc={A3557CFE-E603-43F8-B68F-6FF868D1A4B5}</author>
    <author>tc={08E17318-BED3-44DC-B20A-092F53F7933F}</author>
  </authors>
  <commentList>
    <comment ref="B1" authorId="0" shapeId="0" xr:uid="{0FDF0074-0F83-4ED3-B44E-AA3145D7A0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average coffee farm size</t>
      </text>
    </comment>
    <comment ref="C5" authorId="1" shapeId="0" xr:uid="{4F34A564-927B-4337-B0EE-35AC8B7123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IFPRI Final Impact Report, p.39  Following UCAT, we assume a linear decay in farmers' practice adoption by 7.3% of the initial improvement per year.
Antwort:
    The evaluation only observes adoption rates on one plot which the farmer considers as the plot where he/she applied most practices. We assume this adoption rate applies to the whole coffee farm. </t>
      </text>
    </comment>
    <comment ref="C8" authorId="2" shapeId="0" xr:uid="{9721723E-1274-437F-864E-ACBFFC2F8E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Additional costs for GAP adoption are so marginal that we do not include them here</t>
      </text>
    </comment>
    <comment ref="C14" authorId="3" shapeId="0" xr:uid="{5DB30FA3-E9F5-4D5C-849F-60DB562AC5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IFPRI Impact Report, p.36. This relates to the treatment effect for topic-trained households. Following UCAT, we assume a linear decay in farmers' practice adoption by 7.3% of the initial improvement per year.</t>
      </text>
    </comment>
    <comment ref="C15" authorId="4" shapeId="0" xr:uid="{498DE4F1-4622-49B4-A1A3-9CF92F4ABD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IFRPI data from C2019 stumping survey endline. We do not have info in which year trees were stumped. We assume that stumping occurs in training year 1 (2019) and then decays linearly by 7.3 % (UCAT study). The evidence in the Sidama project shows that most farmers try out stumping during the first year.</t>
      </text>
    </comment>
    <comment ref="C34" authorId="5" shapeId="0" xr:uid="{509A70AD-A0D5-4351-A2F0-256814C27F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IFPRI Impact Report, p.31  
While the C2019 evaluation was conducted right after completion of the program, the endline for C2020 was conducted one year later. Therefore, we multiply the estimated impact by 1.073 to obtain the estimated impact immediately after the program had finished.  Impact in the following years decays by 7.3%.</t>
      </text>
    </comment>
    <comment ref="C37" authorId="6" shapeId="0" xr:uid="{D6621494-8BA6-4136-82B8-420AE52FDD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Additional costs for GAP adoption are so marginal that we do not include them here</t>
      </text>
    </comment>
    <comment ref="C43" authorId="7" shapeId="0" xr:uid="{FAB66F13-4CFB-4641-8B7F-55A95A4E26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IFPRI Impact Report p. 36. Based on the stumping report, we assume most stumping takes playe in Yr1 and Yr2. Following UCAT, we assume a linear decay in farmers' practice adoption by 7.3% of the initial improvement per year.</t>
      </text>
    </comment>
    <comment ref="C44" authorId="8" shapeId="0" xr:uid="{6A6A024B-77A2-4528-A30A-B1EF1B40CD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IFPRI Stumping Report C2020 p.36. Following UCAT, we assume a linear decay in farmers' practice adoption by 7.3% of the initial improvement per year.</t>
      </text>
    </comment>
    <comment ref="C45" authorId="9" shapeId="0" xr:uid="{7D12B111-BA18-4133-ACBF-AF1C0B09CA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IFPRI Stumping Report C2020, p.36. Following UCAT, we assume a linear decay in farmers' practice adoption by 7.3% of the initial improvement per year.</t>
      </text>
    </comment>
    <comment ref="B74" authorId="10" shapeId="0" xr:uid="{AFDB6278-9EF1-4A34-944F-9110C65D44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we substract the cost of the exit component since project benefits also do not include number of stumped trees/adoption rates after exit component</t>
      </text>
    </comment>
    <comment ref="B108" authorId="11" shapeId="0" xr:uid="{A3557CFE-E603-43F8-B68F-6FF868D1A4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Relative to mean hh consumption epxpenditure in SNNP</t>
      </text>
    </comment>
    <comment ref="C108" authorId="12" shapeId="0" xr:uid="{08E17318-BED3-44DC-B20A-092F53F793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Project-wide average hh relative income increase weighted by the number of trained households. C2019 average income change is inflated to 2019 ETB to align with consumption expenditure value.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tc={2930978A-4E0B-4C8A-A5DB-6B70D22B3F22}</author>
  </authors>
  <commentList>
    <comment ref="B8" authorId="0" shapeId="0" xr:uid="{2930978A-4E0B-4C8A-A5DB-6B70D22B3F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This assumption indicates how much of the TNS model's projected yield value is reflected in observed field data. 100% of base means field outcomes fully match the original model assumptions; lower percentages indicate a gap between projected and observed values.
We test yield assumptions as evaluation data consistently shows lower yields than the TNS model projections. We apply a corresponding assumption to adjust the SROI calculation accordingly. This allows us to assess how sensitive the SROI estimate is to the accuracy of underlying agronomic assumptions.
</t>
      </text>
    </comment>
  </commentList>
</comments>
</file>

<file path=xl/sharedStrings.xml><?xml version="1.0" encoding="utf-8"?>
<sst xmlns="http://schemas.openxmlformats.org/spreadsheetml/2006/main" count="482" uniqueCount="301">
  <si>
    <t>Summary of intervention</t>
  </si>
  <si>
    <t>Key indicators</t>
  </si>
  <si>
    <t>HWG Impact Model:</t>
  </si>
  <si>
    <t>Sidama Coffee Agronomy Program</t>
  </si>
  <si>
    <t>Overview</t>
  </si>
  <si>
    <t>Project name</t>
  </si>
  <si>
    <t>Implementing partner</t>
  </si>
  <si>
    <t>TechnoServe</t>
  </si>
  <si>
    <t>Evaluation partner</t>
  </si>
  <si>
    <t>IFPRI</t>
  </si>
  <si>
    <t>Project country</t>
  </si>
  <si>
    <t>Ethiopia</t>
  </si>
  <si>
    <t>Project region</t>
  </si>
  <si>
    <t>Sidama</t>
  </si>
  <si>
    <t>Project duration</t>
  </si>
  <si>
    <t>01/2019 - 04/2023</t>
  </si>
  <si>
    <t>Objective</t>
  </si>
  <si>
    <t>To improve coffee productivity and resilience by promoting regenerative agricultural practices</t>
  </si>
  <si>
    <t>Budget (2023 nominal USD)</t>
  </si>
  <si>
    <t>4,576,452 USD</t>
  </si>
  <si>
    <t>Outreach</t>
  </si>
  <si>
    <t>42,402 trained households</t>
  </si>
  <si>
    <t>Date of Analysis / Version</t>
  </si>
  <si>
    <t>Author</t>
  </si>
  <si>
    <t>Sarah Wiegel</t>
  </si>
  <si>
    <t>SROI</t>
  </si>
  <si>
    <t>Total SROI</t>
  </si>
  <si>
    <t>Type</t>
  </si>
  <si>
    <t>Evaluative</t>
  </si>
  <si>
    <t>SROI per cohort</t>
  </si>
  <si>
    <t>C2019:</t>
  </si>
  <si>
    <t>C2020:</t>
  </si>
  <si>
    <t>Level of certainty*</t>
  </si>
  <si>
    <t>Low</t>
  </si>
  <si>
    <t>Evaluation methodology</t>
  </si>
  <si>
    <t>Matched difference-in-difference (comparing trained and untrained households in treatment area)</t>
  </si>
  <si>
    <t>Primary outcome</t>
  </si>
  <si>
    <t>Adoption status of trained agricultural practices</t>
  </si>
  <si>
    <t>Income measurement</t>
  </si>
  <si>
    <t>modeled based on adoption data</t>
  </si>
  <si>
    <t>Sample size per cohort</t>
  </si>
  <si>
    <t>C2019: 893 households in 34 kebeles</t>
  </si>
  <si>
    <t>C2020: 932 households in 49 kebeles</t>
  </si>
  <si>
    <t>Study population</t>
  </si>
  <si>
    <t>Coffee-cultivating households that are members in Development Groups (GDs) and reside in project kebeles</t>
  </si>
  <si>
    <t>Methodological rigor*</t>
  </si>
  <si>
    <t xml:space="preserve">Findings on other outcomes </t>
  </si>
  <si>
    <t>based on before-after comparison</t>
  </si>
  <si>
    <t>Savings</t>
  </si>
  <si>
    <t>In C2019, almost half (44%) of households were not using any savings method at endline, unchanged from baseline. In C2020, more than half (55%) of the surveyed households were not using any savings method at endline, a non-significant change from baseline.</t>
  </si>
  <si>
    <t>Financial shocks</t>
  </si>
  <si>
    <t>In C2019, at endline, more than a third of households (36%) reported that they have been affected by at least one serious financial shock in the past year, compared to just 20% at baseline. COVID-19 may have had an impact on households during 2020/21. In C2020, at endline, less than a fifth (15%) of households reported to have been affected by at least one serious financial shock in the past year, compared to 38% at baseline.</t>
  </si>
  <si>
    <t>Food security</t>
  </si>
  <si>
    <t>In C2019, 45% reported having suffered from a food shortage in the past year, compared to 68% at baseline. In C2020, over half (56%) of the households reported facing food shortages over the last year. This is higher than at baseline, where the figure was 36%.</t>
  </si>
  <si>
    <t>Present Value vs Costs</t>
  </si>
  <si>
    <t>PV per HH C19</t>
  </si>
  <si>
    <t>C19</t>
  </si>
  <si>
    <t>C20</t>
  </si>
  <si>
    <t>PV per HH C20</t>
  </si>
  <si>
    <t>GAPs besides Stumping</t>
  </si>
  <si>
    <t>PV per HH combined</t>
  </si>
  <si>
    <t>Stumping</t>
  </si>
  <si>
    <t>NPV per HH</t>
  </si>
  <si>
    <t>C2019</t>
  </si>
  <si>
    <t>Project Costs discounted (in 2021 EUR)</t>
  </si>
  <si>
    <t>Present Value (in 2021 EUR)</t>
  </si>
  <si>
    <t>Net Present Value (in 2021 EUR)</t>
  </si>
  <si>
    <t>C2020</t>
  </si>
  <si>
    <t>Total</t>
  </si>
  <si>
    <t>Value</t>
  </si>
  <si>
    <t>Source</t>
  </si>
  <si>
    <t>Coffee Farm Size (ha)</t>
  </si>
  <si>
    <t>C2019 Baseline Report</t>
  </si>
  <si>
    <t>Mean Baseline C2020, p.24</t>
  </si>
  <si>
    <t>Planned</t>
  </si>
  <si>
    <t>Eligible</t>
  </si>
  <si>
    <t>Density (trees/ha)</t>
  </si>
  <si>
    <t>Registered</t>
  </si>
  <si>
    <t>IFPRI Final Impact Report</t>
  </si>
  <si>
    <t>Coffee production (kg fresh cherry)</t>
  </si>
  <si>
    <t>TNS: Herz 2019 Cohort A final scorecard, TNS: Herz 2019 Cohort B final scorecard</t>
  </si>
  <si>
    <t>Share of harvest labor hired</t>
  </si>
  <si>
    <t>Rounds of weeding</t>
  </si>
  <si>
    <t>Mean Baseline C2020 data</t>
  </si>
  <si>
    <t>Share of weeding labor hired</t>
  </si>
  <si>
    <t>Share of compost labor hired</t>
  </si>
  <si>
    <t>Share stumping labor hired</t>
  </si>
  <si>
    <t>Year</t>
  </si>
  <si>
    <t>C2019 Stumping</t>
  </si>
  <si>
    <t>Benefit occured through GAP adoption (adopting &gt;=4 practices) without stumping</t>
  </si>
  <si>
    <t>Treatment effect of training on adoption of 4 or more GAPs</t>
  </si>
  <si>
    <t>-</t>
  </si>
  <si>
    <t>Yield benefit (kg fresh cherry)</t>
  </si>
  <si>
    <t>Additional revenue per hh  (in real 2018 ETB)</t>
  </si>
  <si>
    <t>Year 1</t>
  </si>
  <si>
    <t>Addition harvest labor (in person days)</t>
  </si>
  <si>
    <t>Year 2</t>
  </si>
  <si>
    <t>Additional harvest costs  (in real 2018 ETB)</t>
  </si>
  <si>
    <t>Year 3</t>
  </si>
  <si>
    <t>Additional profit per household (in real 2018 ETB)</t>
  </si>
  <si>
    <t>Year 4</t>
  </si>
  <si>
    <t>Additional profit per household, discounted to base year (in real 2018 ETB)</t>
  </si>
  <si>
    <t>Year 5</t>
  </si>
  <si>
    <t>Additional profit per household, discounted to base year (in real 2021 ETB)</t>
  </si>
  <si>
    <t>Year 6</t>
  </si>
  <si>
    <t>Additional profit per household, discounted (in real 2021 EUR)</t>
  </si>
  <si>
    <t>Year 7</t>
  </si>
  <si>
    <t>Benefit occured through stumping</t>
  </si>
  <si>
    <t>Additonal number of stumped trees on BP plot</t>
  </si>
  <si>
    <t>Year 8</t>
  </si>
  <si>
    <t>Self-reported number of coffee trees stumped on other plots by topic-trained households (incl. those that did not stump)</t>
  </si>
  <si>
    <t>Year 9</t>
  </si>
  <si>
    <t>Self-reported number of coffee trees stumped on other plots by untrained households (incl. those that did not stump)</t>
  </si>
  <si>
    <t>Yield difference</t>
  </si>
  <si>
    <t>Number of additional trees stumped per hh</t>
  </si>
  <si>
    <t>Additional revenue per hh (in real 2018 ETB)</t>
  </si>
  <si>
    <t>Additonal harvest labor (in person days)</t>
  </si>
  <si>
    <t>Additional harvest costs (in real 2018 ETB)</t>
  </si>
  <si>
    <t xml:space="preserve">- </t>
  </si>
  <si>
    <t>Additional stumping labor (in person days)</t>
  </si>
  <si>
    <t>Additional stumping cost (in real 2018 ETB)</t>
  </si>
  <si>
    <t>Additional income per household (in real 2018 ETB)</t>
  </si>
  <si>
    <t>Additional income per household, discounted to base year (in real 2021 ETB)</t>
  </si>
  <si>
    <t>Additonal income per household, discounted (in real 2021 EUR)</t>
  </si>
  <si>
    <t>C2020 Stumping</t>
  </si>
  <si>
    <t>Additional revenue per hh (in real 2019 ETB)</t>
  </si>
  <si>
    <t>Additional harvest costs (in real 2019 ETB)</t>
  </si>
  <si>
    <t>Additional profit per household (in real 2019 ETB)</t>
  </si>
  <si>
    <t>Additional profit per household, discounted to base year (in real 2019 ETB)</t>
  </si>
  <si>
    <t>Self-reported number of coffe trees stumped on other plots by trained households (incl. those that did not stump)</t>
  </si>
  <si>
    <t>Self-reported number of coffe trees stumped on other plots by untrained households (incl. those that did not stump)</t>
  </si>
  <si>
    <t>Additional stumping cost (in real 2019 ETB)</t>
  </si>
  <si>
    <t>Additional income per household (in real 2019 ETB)</t>
  </si>
  <si>
    <t>Additional income per household, discounted to base year (in real 2019 ETB)</t>
  </si>
  <si>
    <t>Incremental Cash-flow in 2021 EUR, discounted</t>
  </si>
  <si>
    <t>Project Costs (in nominal USD)</t>
  </si>
  <si>
    <t>Project Costs (in real 2018 USD)</t>
  </si>
  <si>
    <t>Project Costs discounted to base year (in real 2018 USD)</t>
  </si>
  <si>
    <t>Project Costs discounted to base year (in real 2021 USD)</t>
  </si>
  <si>
    <t>Project Cost discounted (in 2021 EUR)</t>
  </si>
  <si>
    <t>Project Costs (in real 2019 USD)</t>
  </si>
  <si>
    <t>Project Costs discounted to base year ( in real 2019 USD)</t>
  </si>
  <si>
    <t>Project Costs C2019 discounted (in 2021 EUR)</t>
  </si>
  <si>
    <t>Project Costs C2020 discounted (in 2021 EUR)</t>
  </si>
  <si>
    <t>Total Project Costs discounted (in 2021 EUR)</t>
  </si>
  <si>
    <t>Costs per trained household discounted (in 2021 EUR)</t>
  </si>
  <si>
    <t xml:space="preserve">C2019 Present Value </t>
  </si>
  <si>
    <t xml:space="preserve">C2019 Net Present Value </t>
  </si>
  <si>
    <t xml:space="preserve">C2020 Present Value </t>
  </si>
  <si>
    <t xml:space="preserve">C2020 Net Present Value </t>
  </si>
  <si>
    <t>Net Present Value per Household</t>
  </si>
  <si>
    <t>Total Project Present Value</t>
  </si>
  <si>
    <t xml:space="preserve">Total Project Net Present Value </t>
  </si>
  <si>
    <t>C2019 SROI</t>
  </si>
  <si>
    <t>SROI=Present value of project benefit/Present value of project costs</t>
  </si>
  <si>
    <t>C2020 SROI</t>
  </si>
  <si>
    <t>Additional net income (profit)  from coffee</t>
  </si>
  <si>
    <t>Base year C2019</t>
  </si>
  <si>
    <t>Base year C2020</t>
  </si>
  <si>
    <t>Year of Analysis</t>
  </si>
  <si>
    <t>Year of Analysis Currency</t>
  </si>
  <si>
    <t>2021 EUR</t>
  </si>
  <si>
    <t>Discount rate*</t>
  </si>
  <si>
    <t>kg coffee cherries harvested per day</t>
  </si>
  <si>
    <t>Person Days per round of weeding per ha</t>
  </si>
  <si>
    <t>Compost kg/tree</t>
  </si>
  <si>
    <t>Person Days for stumping 1 tree</t>
  </si>
  <si>
    <t>TNS and interviews during field visits</t>
  </si>
  <si>
    <t>Weeks/Year</t>
  </si>
  <si>
    <t>Sources</t>
  </si>
  <si>
    <t>Daily rate per laborer (ETB)</t>
  </si>
  <si>
    <t>2018: C2019 BL (p.25), 2019: C2020 BL (p.32), 2020: C2019 Endline (p. 51),  2021: average 2020-2022, 2022: C2020 Endline (p.34). For rates after 2022, we take the 5-year average daily labor rate from 2018-2022.</t>
  </si>
  <si>
    <t>Daily rate per laborer (in real 2018 ETB)</t>
  </si>
  <si>
    <t>Daily rate per laborer (in real 2019 ETB)</t>
  </si>
  <si>
    <t>Yield benefit of GAP adoption besides stumping</t>
  </si>
  <si>
    <t xml:space="preserve">Year 2 </t>
  </si>
  <si>
    <t>Stumped yield (kg fresh cherry/tree)</t>
  </si>
  <si>
    <t>Unstumped yield (kg fresh cherry/tree)</t>
  </si>
  <si>
    <t>Difference</t>
  </si>
  <si>
    <t>Linear decay in farmers' practice adoption</t>
  </si>
  <si>
    <t>(IPE Triple Line, 2017)</t>
  </si>
  <si>
    <t>Coffee Price (kg fresh cherry) (in nominal ETB)</t>
  </si>
  <si>
    <t>2018: C2019 BL (p. 20), 2019: C2020 BL (p.26); 2020: C2019 Endline (p.45); 2021: average 2020-2022; 2022: C2020 Endline (p.31); 2023: coffee price monitoring Eyasu Oct-Nov. For prices after 2023, we take the 5-year average coffee price from 2019-2023.</t>
  </si>
  <si>
    <t>Coffee Price (kg fresh cherry) (in real 2018 ETB)</t>
  </si>
  <si>
    <t>Coffee Price (kg fresh cherry) (in real 2019 ETB)</t>
  </si>
  <si>
    <t>IMF GDP deflators</t>
  </si>
  <si>
    <t>ETB:EUR</t>
  </si>
  <si>
    <t>Standard</t>
  </si>
  <si>
    <t>End of year exchange rate OANDA</t>
  </si>
  <si>
    <t>ETB:USD</t>
  </si>
  <si>
    <t>PPP</t>
  </si>
  <si>
    <t>USD:EUR</t>
  </si>
  <si>
    <t>Mean Baseline C2019, p.19</t>
  </si>
  <si>
    <t>Productivity (kg fresh cherry / ha)</t>
  </si>
  <si>
    <t>Mean Baseline C2019, p.20 (median=200kg)</t>
  </si>
  <si>
    <t>Mean Baseline C2019 data</t>
  </si>
  <si>
    <t>Mean Baseline C2020, p.25 (median=150kg)</t>
  </si>
  <si>
    <t>Baseline C2020, p.32</t>
  </si>
  <si>
    <t>Baseline C2019, p.25</t>
  </si>
  <si>
    <t>Baseline C2019, p.19</t>
  </si>
  <si>
    <t>Own calculation from C2020 baseline data</t>
  </si>
  <si>
    <t>Driver</t>
  </si>
  <si>
    <t>Base</t>
  </si>
  <si>
    <t>Note</t>
  </si>
  <si>
    <t>Discount rate</t>
  </si>
  <si>
    <t>Master input. SROI discounting reads this cell.</t>
  </si>
  <si>
    <t>Parameter</t>
  </si>
  <si>
    <t>Coffee Trees</t>
  </si>
  <si>
    <t>Person Days for making compost for 1 kg per tree</t>
  </si>
  <si>
    <t>Person Days for applying compost for 1 kg per tree</t>
  </si>
  <si>
    <t>Stage</t>
  </si>
  <si>
    <t>Topic-trained</t>
  </si>
  <si>
    <t>Trained (&gt;=50% topics)</t>
  </si>
  <si>
    <t>C2019 Source</t>
  </si>
  <si>
    <t>C2020 Source</t>
  </si>
  <si>
    <t>Mean Endline C2019, p.45</t>
  </si>
  <si>
    <t>Project proposal</t>
  </si>
  <si>
    <t>1) Incremental cash-flow at household level</t>
  </si>
  <si>
    <t>Parameters shared across cohorts</t>
  </si>
  <si>
    <t>Source: Ethiopia Socioeconomic Panel Survey 2021/22, Survey Report</t>
  </si>
  <si>
    <t xml:space="preserve">2) Incremental cash-flow total project discounted </t>
  </si>
  <si>
    <t>3) Project Costs</t>
  </si>
  <si>
    <t>4) Present Value (in 2021 EUR)</t>
  </si>
  <si>
    <t>C2019 Present Value per household</t>
  </si>
  <si>
    <t xml:space="preserve">C2020 Present Value per household </t>
  </si>
  <si>
    <t>Total Present Value per Household</t>
  </si>
  <si>
    <t>Relative increase in household income</t>
  </si>
  <si>
    <t>Mean annual household expenditure SNNP (in real 2019 ETB)</t>
  </si>
  <si>
    <t>5) Project SROI</t>
  </si>
  <si>
    <t>C2019 (10-yr horizon: 2019–2028)</t>
  </si>
  <si>
    <t>C2020 (10-yr horizon: 2020–2029)</t>
  </si>
  <si>
    <t>Labor rates</t>
  </si>
  <si>
    <t>PPP conversion factor, GDP (LCU per international $)</t>
  </si>
  <si>
    <t xml:space="preserve">PPP conversion factor, GDP (LCU per international $) </t>
  </si>
  <si>
    <t>Project closure overview</t>
  </si>
  <si>
    <t>Master input</t>
  </si>
  <si>
    <t>Non-implementation cost share deducted</t>
  </si>
  <si>
    <t>NICSH</t>
  </si>
  <si>
    <t>Treatment effect of training on adoption of 4 or more BPs</t>
  </si>
  <si>
    <t>Multiplier on difference between stumped and unstumped yield. 100% = base.</t>
  </si>
  <si>
    <t>% difference</t>
  </si>
  <si>
    <t>Annual effect decay/increase</t>
  </si>
  <si>
    <t>Yield effect of stumping (% of base)</t>
  </si>
  <si>
    <t>Impact Measure*</t>
  </si>
  <si>
    <t>Average coffee price change</t>
  </si>
  <si>
    <t>Coffee price change</t>
  </si>
  <si>
    <t>Yield effect adopting &gt;=4 BPs</t>
  </si>
  <si>
    <t>Lower-bound SROI</t>
  </si>
  <si>
    <t>Upper-bound SROI</t>
  </si>
  <si>
    <r>
      <t xml:space="preserve">Sensitivity analysis
</t>
    </r>
    <r>
      <rPr>
        <sz val="10"/>
        <color theme="1"/>
        <rFont val="Pero"/>
        <family val="2"/>
      </rPr>
      <t>(parameters to determine lower- and upper-bound SROI estimates)</t>
    </r>
  </si>
  <si>
    <t>Average coffee price change + Yield benefit of stumping+Yield benefit of other BP adoption</t>
  </si>
  <si>
    <t>Result column does not update automatically, Goal Seek Method applied to determine results</t>
  </si>
  <si>
    <t>What would have needed to happen to achieve an SROI of 2 or better?</t>
  </si>
  <si>
    <t>Increase in adoption rate of other practices than stumping</t>
  </si>
  <si>
    <t>Cohort</t>
  </si>
  <si>
    <t>Number of additional coffee trees stumped per hh during project period</t>
  </si>
  <si>
    <t xml:space="preserve">This analysis shows that stumping adoption and/or intensity are the project outcomes that mainly drive SROI. The adoption of other practices would have to increase to impossibly high levels in C2020 to achieve an SROI of 2. The number of stumped trees would roughly have to double to achieve an SROI of 2. This seems more feasible but even stumping incentives introduced in C2020 didn't bring up stumping adoption or intensity to the required level. </t>
  </si>
  <si>
    <t>Expert model (available upon request</t>
  </si>
  <si>
    <t>TNS yield model (available upon request)</t>
  </si>
  <si>
    <t>Laterite</t>
  </si>
  <si>
    <t>Fair</t>
  </si>
  <si>
    <t>Sensitivity analysis</t>
  </si>
  <si>
    <t>Data source of impact estimates</t>
  </si>
  <si>
    <t>HWG Evaluation</t>
  </si>
  <si>
    <t xml:space="preserve">Coffee prices </t>
  </si>
  <si>
    <t>1) Sidama Coffee Agronomy Program Theory of Change</t>
  </si>
  <si>
    <t>2) HereWeGrow Impact Map</t>
  </si>
  <si>
    <t>Cell shading indicates data confidence</t>
  </si>
  <si>
    <t>Substantiated — supported by credible empirical source</t>
  </si>
  <si>
    <t>Uncertain — based on limited data, proxy, or forecast assumption</t>
  </si>
  <si>
    <t>1) Details of the Analysis</t>
  </si>
  <si>
    <t>2) Assumptions Used in the Analysis</t>
  </si>
  <si>
    <t>Yield benefit of  stumping*</t>
  </si>
  <si>
    <t>Year 1 
(Stumping)</t>
  </si>
  <si>
    <t>3. External Parameters Used in the Analysis</t>
  </si>
  <si>
    <t>Household reach</t>
  </si>
  <si>
    <t>Farm &amp; agronomic parameters</t>
  </si>
  <si>
    <t>Inflation*</t>
  </si>
  <si>
    <t>USA (GDP deflator; base year=2017)</t>
  </si>
  <si>
    <t>Ethiopia (GDP deflator; base year = 2015/16</t>
  </si>
  <si>
    <t>Exchange rates</t>
  </si>
  <si>
    <t>Assumption</t>
  </si>
  <si>
    <t>Master input. Deducted from annual budget.</t>
  </si>
  <si>
    <t>*Detailed definitions are given under the tab "Info"</t>
  </si>
  <si>
    <t>*Detailed definitions and background information are given under the tab "Info".</t>
  </si>
  <si>
    <t>SROI (based on entries in column "Value")</t>
  </si>
  <si>
    <r>
      <rPr>
        <b/>
        <sz val="11"/>
        <color theme="1"/>
        <rFont val="Pero"/>
        <family val="2"/>
      </rPr>
      <t xml:space="preserve">Discount rate: </t>
    </r>
    <r>
      <rPr>
        <sz val="11"/>
        <color theme="1"/>
        <rFont val="Pero"/>
        <family val="2"/>
      </rPr>
      <t>Not discounting project benefits and costs would increase the SROI to 1.6.</t>
    </r>
  </si>
  <si>
    <r>
      <rPr>
        <b/>
        <sz val="11"/>
        <color theme="1"/>
        <rFont val="Pero"/>
        <family val="2"/>
      </rPr>
      <t xml:space="preserve">Non-implementation cost share: </t>
    </r>
    <r>
      <rPr>
        <sz val="11"/>
        <color theme="1"/>
        <rFont val="Pero"/>
        <family val="2"/>
      </rPr>
      <t>The project budget includes 17% indirect costs. Excluding these costs in the cost base for the SROI calculation increases SROI only slightly to 1.2.</t>
    </r>
  </si>
  <si>
    <t>&gt;100%</t>
  </si>
  <si>
    <t>Yield effect of adopting &gt;=4 BPs</t>
  </si>
  <si>
    <r>
      <t>Coffee yield effect of stumping adoption and other practices besides stumping:</t>
    </r>
    <r>
      <rPr>
        <sz val="11"/>
        <color rgb="FF000000"/>
        <rFont val="Pero"/>
        <family val="2"/>
      </rPr>
      <t xml:space="preserve"> If only 90% of the assumed yield effect of stumping materialize, the yield effect of adopting other practices has to be a least 15%. Under optimistic assumptions of yield effects of stumping as described in the base case and a 30% yield effect due to other BP adoption, SROI increases to 1.3. </t>
    </r>
  </si>
  <si>
    <r>
      <rPr>
        <b/>
        <sz val="11"/>
        <color theme="1"/>
        <rFont val="Pero"/>
        <family val="2"/>
      </rPr>
      <t>Dynamic treatment effects:</t>
    </r>
    <r>
      <rPr>
        <sz val="11"/>
        <color theme="1"/>
        <rFont val="Pero"/>
        <family val="2"/>
      </rPr>
      <t xml:space="preserve"> Varying how the treatment effect on adoption differs over time has a neglible effect on SROI. Low effects of the intervention on BP adoption measured at endline mean that even if effects increase by 10% annually, SROI would only increase by 0.1 to 1.1.</t>
    </r>
  </si>
  <si>
    <r>
      <t xml:space="preserve">Coffee price development: </t>
    </r>
    <r>
      <rPr>
        <sz val="11"/>
        <color rgb="FF000000"/>
        <rFont val="Pero"/>
        <family val="2"/>
      </rPr>
      <t>Average coffee prices only have an effect on SROI if at leat 70% of the assumed yield effect of stumping materialize. In the base case of 100% realization of the TNS-based yield impact, the SROI ranges from 0.7 at a 30% price decrease to 1.2 at a 30% price increase.</t>
    </r>
  </si>
  <si>
    <t>This sensitivity analysis varies the parameters where we have most uncertainty about. Overall, SROI remains around 1. Under the most optimistic assumptions SROI increases to 1.3. Under more conserative assumptions SROI drops below 1 which means that project costs exceed project benefits.</t>
  </si>
  <si>
    <t xml:space="preserve">To test different scenarios change the data in column "Value". Reinsert the values from column "Base" into the column "Value" to reproduce the original model. </t>
  </si>
  <si>
    <t>Total Costs per household discounted (in 2021 EUR)</t>
  </si>
  <si>
    <t>Costs C2019 per household discounted (in 2021 EUR)</t>
  </si>
  <si>
    <t>Costs C2020 per household discounted (in 2021 EUR)</t>
  </si>
  <si>
    <t>Costs per HH C19</t>
  </si>
  <si>
    <t>Costs per HH C20</t>
  </si>
  <si>
    <t>Costs per HH combined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</si>
</sst>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0.0%"/>
    <numFmt numFmtId="167" formatCode="#,##0.00\ &quot;€&quot;"/>
    <numFmt numFmtId="168" formatCode="#,##0\ &quot;€&quot;"/>
    <numFmt numFmtId="169" formatCode="#,##0.0"/>
    <numFmt numFmtId="170" formatCode="0.000000"/>
    <numFmt numFmtId="171" formatCode="#,##0.000"/>
  </numFmts>
  <fonts count="55" x14ac:knownFonts="1">
    <font>
      <sz val="11"/>
      <color theme="1"/>
      <name val="Calibri"/>
      <family val="2"/>
      <scheme val="minor"/>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u/>
      <sz val="11"/>
      <color theme="10"/>
      <name val="Calibri"/>
      <family val="2"/>
      <scheme val="minor"/>
    </font>
    <font>
      <sz val="8"/>
      <name val="Calibri"/>
      <family val="2"/>
      <scheme val="minor"/>
    </font>
    <font>
      <sz val="11"/>
      <color indexed="8"/>
      <name val="Calibri"/>
      <family val="2"/>
    </font>
    <font>
      <sz val="11"/>
      <color rgb="FF000000"/>
      <name val="Pero"/>
      <family val="2"/>
    </font>
    <font>
      <sz val="14"/>
      <color theme="1"/>
      <name val="Pero ExtraBold"/>
      <family val="2"/>
    </font>
    <font>
      <b/>
      <sz val="14"/>
      <color indexed="8"/>
      <name val="Pero"/>
      <family val="2"/>
    </font>
    <font>
      <i/>
      <sz val="10"/>
      <color theme="1"/>
      <name val="Pero"/>
      <family val="2"/>
    </font>
    <font>
      <sz val="11"/>
      <color theme="1"/>
      <name val="Pero"/>
      <family val="2"/>
    </font>
    <font>
      <b/>
      <sz val="11"/>
      <color theme="1"/>
      <name val="Pero"/>
      <family val="2"/>
    </font>
    <font>
      <b/>
      <sz val="14"/>
      <color theme="1"/>
      <name val="Pero"/>
      <family val="2"/>
    </font>
    <font>
      <b/>
      <sz val="16"/>
      <color indexed="8"/>
      <name val="Pero"/>
      <family val="2"/>
    </font>
    <font>
      <b/>
      <sz val="11"/>
      <color indexed="8"/>
      <name val="Pero"/>
      <family val="2"/>
    </font>
    <font>
      <u/>
      <sz val="11"/>
      <color theme="10"/>
      <name val="Pero"/>
      <family val="2"/>
    </font>
    <font>
      <b/>
      <sz val="14"/>
      <color theme="0"/>
      <name val="Pero"/>
      <family val="2"/>
    </font>
    <font>
      <b/>
      <sz val="12"/>
      <color theme="1"/>
      <name val="Pero"/>
      <family val="2"/>
    </font>
    <font>
      <sz val="11"/>
      <color rgb="FF000000"/>
      <name val="Pero"/>
      <family val="2"/>
    </font>
    <font>
      <sz val="11"/>
      <color rgb="FF0000FF"/>
      <name val="Pero"/>
      <family val="2"/>
    </font>
    <font>
      <b/>
      <sz val="11"/>
      <color rgb="FF000000"/>
      <name val="Pero"/>
      <family val="2"/>
    </font>
    <font>
      <b/>
      <sz val="11"/>
      <color theme="1"/>
      <name val="Pero"/>
      <family val="2"/>
    </font>
    <font>
      <b/>
      <sz val="12"/>
      <color theme="1"/>
      <name val="Pero"/>
      <family val="2"/>
    </font>
    <font>
      <b/>
      <sz val="11"/>
      <color rgb="FF000000"/>
      <name val="Pero"/>
      <family val="2"/>
    </font>
    <font>
      <b/>
      <sz val="11"/>
      <color rgb="FF1F3864"/>
      <name val="Pero"/>
      <family val="2"/>
    </font>
    <font>
      <i/>
      <sz val="10"/>
      <color rgb="FF595959"/>
      <name val="Pero"/>
      <family val="2"/>
    </font>
    <font>
      <sz val="11"/>
      <name val="Pero"/>
      <family val="2"/>
    </font>
    <font>
      <u/>
      <sz val="11"/>
      <color theme="10"/>
      <name val="Pero"/>
      <family val="2"/>
    </font>
    <font>
      <i/>
      <sz val="10"/>
      <color rgb="FF595959"/>
      <name val="Pero"/>
      <family val="2"/>
    </font>
    <font>
      <sz val="11"/>
      <color rgb="FFFFFFFF"/>
      <name val="Calibri"/>
      <family val="2"/>
      <scheme val="minor"/>
    </font>
    <font>
      <sz val="11"/>
      <color theme="0"/>
      <name val="Pero"/>
      <family val="2"/>
    </font>
    <font>
      <i/>
      <sz val="9"/>
      <color rgb="FF7F7F7F"/>
      <name val="Calibri"/>
      <family val="2"/>
      <scheme val="minor"/>
    </font>
    <font>
      <sz val="10"/>
      <color theme="1"/>
      <name val="Pero"/>
      <family val="2"/>
    </font>
    <font>
      <sz val="10"/>
      <color indexed="8"/>
      <name val="Pero"/>
      <family val="2"/>
    </font>
    <font>
      <sz val="11"/>
      <color rgb="FF3F3F76"/>
      <name val="Pero"/>
      <family val="2"/>
    </font>
    <font>
      <sz val="14"/>
      <color indexed="8"/>
      <name val="Pero ExtraBold"/>
      <family val="2"/>
    </font>
    <font>
      <sz val="11"/>
      <name val="Pero ExtraBold"/>
      <family val="2"/>
    </font>
    <font>
      <sz val="11"/>
      <color rgb="FF000000"/>
      <name val="Pero ExtraBold"/>
      <family val="2"/>
    </font>
    <font>
      <sz val="11"/>
      <color theme="1"/>
      <name val="Pero ExtraBold"/>
      <family val="2"/>
    </font>
    <font>
      <b/>
      <sz val="16"/>
      <color theme="1"/>
      <name val="Pero ExtraBold"/>
      <family val="2"/>
    </font>
    <font>
      <sz val="12"/>
      <color theme="1"/>
      <name val="Pero ExtraBold"/>
      <family val="2"/>
    </font>
    <font>
      <sz val="12"/>
      <color rgb="FF000000"/>
      <name val="Pero ExtraBold"/>
      <family val="2"/>
    </font>
    <font>
      <i/>
      <sz val="10"/>
      <color rgb="FF000000"/>
      <name val="Pero"/>
      <family val="2"/>
    </font>
    <font>
      <sz val="11"/>
      <color theme="1"/>
      <name val="Pero"/>
    </font>
  </fonts>
  <fills count="1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C8AFBE"/>
        <bgColor indexed="64"/>
      </patternFill>
    </fill>
    <fill>
      <patternFill patternType="solid">
        <fgColor theme="0"/>
        <bgColor indexed="64"/>
      </patternFill>
    </fill>
    <fill>
      <patternFill patternType="solid">
        <fgColor rgb="FFDCA591"/>
        <bgColor indexed="64"/>
      </patternFill>
    </fill>
    <fill>
      <patternFill patternType="solid">
        <fgColor rgb="FFB4463C"/>
        <bgColor indexed="64"/>
      </patternFill>
    </fill>
    <fill>
      <patternFill patternType="solid">
        <fgColor rgb="FFFFF2CC"/>
        <bgColor indexed="64"/>
      </patternFill>
    </fill>
    <fill>
      <patternFill patternType="solid">
        <fgColor rgb="FFDBA490"/>
        <bgColor rgb="FFDBA490"/>
      </patternFill>
    </fill>
    <fill>
      <patternFill patternType="solid">
        <fgColor rgb="FFE7E6E6"/>
        <bgColor indexed="64"/>
      </patternFill>
    </fill>
    <fill>
      <patternFill patternType="solid">
        <fgColor rgb="FFD9D9D9"/>
        <bgColor indexed="64"/>
      </patternFill>
    </fill>
    <fill>
      <patternFill patternType="solid">
        <fgColor rgb="FFCDD2B4"/>
        <bgColor indexed="64"/>
      </patternFill>
    </fill>
    <fill>
      <patternFill patternType="solid">
        <fgColor rgb="FFDBA490"/>
        <bgColor indexed="64"/>
      </patternFill>
    </fill>
    <fill>
      <patternFill patternType="solid">
        <fgColor rgb="FFFFCC99"/>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auto="1"/>
      </left>
      <right/>
      <top style="medium">
        <color auto="1"/>
      </top>
      <bottom style="thin">
        <color auto="1"/>
      </bottom>
      <diagonal/>
    </border>
    <border>
      <left/>
      <right style="medium">
        <color rgb="FFBFBFBF"/>
      </right>
      <top/>
      <bottom style="thin">
        <color rgb="FFBFBFBF"/>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1"/>
      </left>
      <right style="thin">
        <color theme="1"/>
      </right>
      <top style="thin">
        <color theme="1"/>
      </top>
      <bottom style="thin">
        <color theme="1"/>
      </bottom>
      <diagonal/>
    </border>
    <border>
      <left/>
      <right/>
      <top style="medium">
        <color indexed="64"/>
      </top>
      <bottom/>
      <diagonal/>
    </border>
  </borders>
  <cellStyleXfs count="4">
    <xf numFmtId="0" fontId="0" fillId="0" borderId="0"/>
    <xf numFmtId="0" fontId="14" fillId="0" borderId="0" applyNumberFormat="0" applyFill="0" applyBorder="0" applyAlignment="0" applyProtection="0"/>
    <xf numFmtId="0" fontId="16" fillId="0" borderId="0"/>
    <xf numFmtId="0" fontId="45" fillId="16" borderId="41" applyNumberFormat="0" applyAlignment="0" applyProtection="0"/>
  </cellStyleXfs>
  <cellXfs count="407">
    <xf numFmtId="0" fontId="0" fillId="0" borderId="0" xfId="0"/>
    <xf numFmtId="0" fontId="0" fillId="0" borderId="0" xfId="0" applyAlignment="1">
      <alignment wrapText="1"/>
    </xf>
    <xf numFmtId="0" fontId="0" fillId="0" borderId="0" xfId="0" applyAlignment="1">
      <alignment horizontal="left" vertical="center"/>
    </xf>
    <xf numFmtId="0" fontId="19" fillId="2" borderId="25" xfId="2" applyFont="1" applyFill="1" applyBorder="1" applyAlignment="1">
      <alignment horizontal="left"/>
    </xf>
    <xf numFmtId="0" fontId="21" fillId="0" borderId="0" xfId="0" applyFont="1"/>
    <xf numFmtId="0" fontId="21" fillId="0" borderId="31" xfId="0" applyFont="1" applyBorder="1"/>
    <xf numFmtId="0" fontId="21" fillId="0" borderId="27" xfId="0" applyFont="1" applyBorder="1"/>
    <xf numFmtId="0" fontId="22" fillId="6" borderId="1" xfId="0" applyFont="1" applyFill="1" applyBorder="1" applyAlignment="1">
      <alignment horizontal="left"/>
    </xf>
    <xf numFmtId="0" fontId="22" fillId="6" borderId="1" xfId="0" applyFont="1" applyFill="1" applyBorder="1" applyAlignment="1">
      <alignment horizontal="center"/>
    </xf>
    <xf numFmtId="0" fontId="21" fillId="0" borderId="1" xfId="0" applyFont="1" applyBorder="1"/>
    <xf numFmtId="9" fontId="21" fillId="0" borderId="1" xfId="0" applyNumberFormat="1" applyFont="1" applyBorder="1" applyAlignment="1">
      <alignment horizontal="center"/>
    </xf>
    <xf numFmtId="3" fontId="21" fillId="0" borderId="0" xfId="0" applyNumberFormat="1" applyFont="1"/>
    <xf numFmtId="0" fontId="21" fillId="7" borderId="15" xfId="0" applyFont="1" applyFill="1" applyBorder="1" applyAlignment="1">
      <alignment horizontal="left" vertical="center"/>
    </xf>
    <xf numFmtId="0" fontId="21" fillId="7" borderId="16" xfId="0" applyFont="1" applyFill="1" applyBorder="1" applyAlignment="1">
      <alignment horizontal="left" vertical="center"/>
    </xf>
    <xf numFmtId="0" fontId="21" fillId="7" borderId="16" xfId="0" applyFont="1" applyFill="1" applyBorder="1" applyAlignment="1">
      <alignment wrapText="1"/>
    </xf>
    <xf numFmtId="0" fontId="21" fillId="7" borderId="16" xfId="0" applyFont="1" applyFill="1" applyBorder="1"/>
    <xf numFmtId="0" fontId="21" fillId="7" borderId="17" xfId="0" applyFont="1" applyFill="1" applyBorder="1"/>
    <xf numFmtId="0" fontId="19" fillId="7" borderId="18" xfId="2" applyFont="1" applyFill="1" applyBorder="1" applyAlignment="1">
      <alignment horizontal="left"/>
    </xf>
    <xf numFmtId="0" fontId="24" fillId="3" borderId="0" xfId="2" applyFont="1" applyFill="1" applyAlignment="1">
      <alignment horizontal="left" vertical="center"/>
    </xf>
    <xf numFmtId="0" fontId="24" fillId="3" borderId="0" xfId="2" applyFont="1" applyFill="1" applyAlignment="1">
      <alignment horizontal="center" vertical="center"/>
    </xf>
    <xf numFmtId="0" fontId="21" fillId="3" borderId="0" xfId="0" applyFont="1" applyFill="1"/>
    <xf numFmtId="0" fontId="21" fillId="7" borderId="0" xfId="0" applyFont="1" applyFill="1"/>
    <xf numFmtId="0" fontId="21" fillId="7" borderId="19" xfId="0" applyFont="1" applyFill="1" applyBorder="1"/>
    <xf numFmtId="0" fontId="21" fillId="7" borderId="18" xfId="0" applyFont="1" applyFill="1" applyBorder="1" applyAlignment="1">
      <alignment horizontal="left" vertical="center"/>
    </xf>
    <xf numFmtId="0" fontId="21" fillId="7" borderId="0" xfId="0" applyFont="1" applyFill="1" applyAlignment="1">
      <alignment horizontal="left" vertical="center"/>
    </xf>
    <xf numFmtId="0" fontId="21" fillId="7" borderId="0" xfId="0" applyFont="1" applyFill="1" applyAlignment="1">
      <alignment wrapText="1"/>
    </xf>
    <xf numFmtId="0" fontId="19" fillId="2" borderId="18" xfId="2" applyFont="1" applyFill="1" applyBorder="1" applyAlignment="1">
      <alignment horizontal="left" vertical="center"/>
    </xf>
    <xf numFmtId="0" fontId="19" fillId="2" borderId="0" xfId="2" applyFont="1" applyFill="1" applyAlignment="1">
      <alignment horizontal="left" vertical="center"/>
    </xf>
    <xf numFmtId="0" fontId="19" fillId="2" borderId="0" xfId="2" applyFont="1" applyFill="1" applyAlignment="1">
      <alignment horizontal="left" wrapText="1"/>
    </xf>
    <xf numFmtId="0" fontId="19" fillId="2" borderId="0" xfId="2" applyFont="1" applyFill="1" applyAlignment="1">
      <alignment horizontal="left"/>
    </xf>
    <xf numFmtId="0" fontId="21" fillId="2" borderId="0" xfId="0" applyFont="1" applyFill="1"/>
    <xf numFmtId="0" fontId="21" fillId="2" borderId="19" xfId="0" applyFont="1" applyFill="1" applyBorder="1"/>
    <xf numFmtId="0" fontId="21" fillId="7" borderId="18" xfId="0" applyFont="1" applyFill="1" applyBorder="1"/>
    <xf numFmtId="0" fontId="19" fillId="7" borderId="0" xfId="2" applyFont="1" applyFill="1" applyAlignment="1">
      <alignment horizontal="left" vertical="center"/>
    </xf>
    <xf numFmtId="0" fontId="19" fillId="7" borderId="0" xfId="2" applyFont="1" applyFill="1" applyAlignment="1">
      <alignment horizontal="left" wrapText="1"/>
    </xf>
    <xf numFmtId="0" fontId="19" fillId="7" borderId="0" xfId="2" applyFont="1" applyFill="1" applyAlignment="1">
      <alignment horizontal="left"/>
    </xf>
    <xf numFmtId="0" fontId="25" fillId="7" borderId="14" xfId="2" applyFont="1" applyFill="1" applyBorder="1" applyAlignment="1">
      <alignment horizontal="left" vertical="center"/>
    </xf>
    <xf numFmtId="0" fontId="21" fillId="7" borderId="14" xfId="0" applyFont="1" applyFill="1" applyBorder="1" applyAlignment="1">
      <alignment wrapText="1"/>
    </xf>
    <xf numFmtId="0" fontId="19" fillId="7" borderId="14" xfId="2" applyFont="1" applyFill="1" applyBorder="1" applyAlignment="1">
      <alignment horizontal="left"/>
    </xf>
    <xf numFmtId="0" fontId="22" fillId="7" borderId="14" xfId="0" applyFont="1" applyFill="1" applyBorder="1" applyAlignment="1">
      <alignment horizontal="left" vertical="center"/>
    </xf>
    <xf numFmtId="0" fontId="26" fillId="7" borderId="14" xfId="1" applyFont="1" applyFill="1" applyBorder="1" applyAlignment="1">
      <alignment wrapText="1"/>
    </xf>
    <xf numFmtId="0" fontId="21" fillId="7" borderId="14" xfId="0" applyFont="1" applyFill="1" applyBorder="1"/>
    <xf numFmtId="0" fontId="26" fillId="7" borderId="14" xfId="1" applyFont="1" applyFill="1" applyBorder="1"/>
    <xf numFmtId="0" fontId="21" fillId="7" borderId="14" xfId="0" quotePrefix="1" applyFont="1" applyFill="1" applyBorder="1" applyAlignment="1">
      <alignment wrapText="1"/>
    </xf>
    <xf numFmtId="17" fontId="21" fillId="7" borderId="14" xfId="0" applyNumberFormat="1" applyFont="1" applyFill="1" applyBorder="1" applyAlignment="1">
      <alignment horizontal="left" wrapText="1"/>
    </xf>
    <xf numFmtId="0" fontId="22" fillId="7" borderId="0" xfId="0" applyFont="1" applyFill="1" applyAlignment="1">
      <alignment horizontal="left" vertical="center"/>
    </xf>
    <xf numFmtId="0" fontId="19" fillId="2" borderId="19" xfId="2" applyFont="1" applyFill="1" applyBorder="1" applyAlignment="1">
      <alignment horizontal="left"/>
    </xf>
    <xf numFmtId="0" fontId="19" fillId="7" borderId="18" xfId="2" applyFont="1" applyFill="1" applyBorder="1" applyAlignment="1">
      <alignment horizontal="left" vertical="center"/>
    </xf>
    <xf numFmtId="0" fontId="23" fillId="7" borderId="18" xfId="0" applyFont="1" applyFill="1" applyBorder="1" applyAlignment="1">
      <alignment horizontal="left" vertical="center"/>
    </xf>
    <xf numFmtId="0" fontId="23" fillId="3" borderId="14" xfId="0" applyFont="1" applyFill="1" applyBorder="1" applyAlignment="1">
      <alignment horizontal="left" vertical="center"/>
    </xf>
    <xf numFmtId="0" fontId="22" fillId="7" borderId="18" xfId="0" applyFont="1" applyFill="1" applyBorder="1" applyAlignment="1">
      <alignment horizontal="left" vertical="center"/>
    </xf>
    <xf numFmtId="0" fontId="22" fillId="7" borderId="0" xfId="0" applyFont="1" applyFill="1" applyAlignment="1">
      <alignment horizontal="left"/>
    </xf>
    <xf numFmtId="0" fontId="21" fillId="7" borderId="14" xfId="0" applyFont="1" applyFill="1" applyBorder="1" applyAlignment="1">
      <alignment horizontal="left" vertical="center"/>
    </xf>
    <xf numFmtId="2" fontId="21" fillId="7" borderId="0" xfId="0" applyNumberFormat="1" applyFont="1" applyFill="1" applyAlignment="1">
      <alignment horizontal="left"/>
    </xf>
    <xf numFmtId="0" fontId="21" fillId="7" borderId="0" xfId="0" applyFont="1" applyFill="1" applyAlignment="1">
      <alignment horizontal="left"/>
    </xf>
    <xf numFmtId="168" fontId="21" fillId="7" borderId="0" xfId="0" applyNumberFormat="1" applyFont="1" applyFill="1" applyAlignment="1">
      <alignment horizontal="left"/>
    </xf>
    <xf numFmtId="0" fontId="21" fillId="7" borderId="18" xfId="0" applyFont="1" applyFill="1" applyBorder="1" applyAlignment="1">
      <alignment horizontal="left"/>
    </xf>
    <xf numFmtId="0" fontId="21" fillId="0" borderId="0" xfId="0" applyFont="1" applyAlignment="1">
      <alignment horizontal="left" vertical="center"/>
    </xf>
    <xf numFmtId="167" fontId="21" fillId="7" borderId="0" xfId="0" applyNumberFormat="1" applyFont="1" applyFill="1" applyAlignment="1">
      <alignment horizontal="left"/>
    </xf>
    <xf numFmtId="0" fontId="23" fillId="7" borderId="1" xfId="0" applyFont="1" applyFill="1" applyBorder="1" applyAlignment="1">
      <alignment horizontal="left"/>
    </xf>
    <xf numFmtId="0" fontId="21" fillId="7" borderId="21" xfId="0" applyFont="1" applyFill="1" applyBorder="1" applyAlignment="1">
      <alignment horizontal="left" vertical="center"/>
    </xf>
    <xf numFmtId="0" fontId="21" fillId="7" borderId="22" xfId="0" applyFont="1" applyFill="1" applyBorder="1" applyAlignment="1">
      <alignment wrapText="1"/>
    </xf>
    <xf numFmtId="0" fontId="21" fillId="7" borderId="22" xfId="0" applyFont="1" applyFill="1" applyBorder="1"/>
    <xf numFmtId="0" fontId="21" fillId="7" borderId="23" xfId="0" applyFont="1" applyFill="1" applyBorder="1"/>
    <xf numFmtId="165" fontId="21" fillId="0" borderId="0" xfId="0" applyNumberFormat="1" applyFont="1"/>
    <xf numFmtId="0" fontId="21" fillId="6" borderId="9" xfId="0" applyFont="1" applyFill="1" applyBorder="1" applyAlignment="1">
      <alignment horizontal="center"/>
    </xf>
    <xf numFmtId="0" fontId="21" fillId="0" borderId="2" xfId="0" quotePrefix="1" applyFont="1" applyBorder="1" applyAlignment="1">
      <alignment horizontal="center"/>
    </xf>
    <xf numFmtId="0" fontId="21" fillId="0" borderId="1" xfId="0" quotePrefix="1" applyFont="1" applyBorder="1" applyAlignment="1">
      <alignment horizontal="center"/>
    </xf>
    <xf numFmtId="165" fontId="21" fillId="0" borderId="1" xfId="0" applyNumberFormat="1" applyFont="1" applyBorder="1" applyAlignment="1">
      <alignment horizontal="center"/>
    </xf>
    <xf numFmtId="169" fontId="21" fillId="0" borderId="1" xfId="0" applyNumberFormat="1" applyFont="1" applyBorder="1" applyAlignment="1">
      <alignment horizontal="center"/>
    </xf>
    <xf numFmtId="0" fontId="21" fillId="4" borderId="1" xfId="0" quotePrefix="1" applyFont="1" applyFill="1" applyBorder="1" applyAlignment="1">
      <alignment horizontal="center"/>
    </xf>
    <xf numFmtId="169" fontId="21" fillId="5" borderId="9" xfId="0" applyNumberFormat="1" applyFont="1" applyFill="1" applyBorder="1" applyAlignment="1">
      <alignment horizontal="center" vertical="center"/>
    </xf>
    <xf numFmtId="9" fontId="21" fillId="0" borderId="0" xfId="0" applyNumberFormat="1" applyFont="1"/>
    <xf numFmtId="0" fontId="21" fillId="0" borderId="2" xfId="0" quotePrefix="1" applyFont="1" applyBorder="1" applyAlignment="1">
      <alignment horizontal="center" vertical="center"/>
    </xf>
    <xf numFmtId="0" fontId="21" fillId="0" borderId="1" xfId="0" quotePrefix="1" applyFont="1" applyBorder="1" applyAlignment="1">
      <alignment horizontal="center" vertical="center"/>
    </xf>
    <xf numFmtId="165" fontId="21" fillId="0" borderId="1" xfId="0" quotePrefix="1" applyNumberFormat="1" applyFont="1" applyBorder="1" applyAlignment="1">
      <alignment horizontal="center" vertical="center"/>
    </xf>
    <xf numFmtId="0" fontId="21" fillId="4" borderId="2" xfId="0" quotePrefix="1" applyFont="1" applyFill="1" applyBorder="1" applyAlignment="1">
      <alignment horizontal="center"/>
    </xf>
    <xf numFmtId="0" fontId="21" fillId="0" borderId="0" xfId="0" quotePrefix="1" applyFont="1" applyAlignment="1">
      <alignment horizontal="center" vertical="center"/>
    </xf>
    <xf numFmtId="3" fontId="21" fillId="0" borderId="1" xfId="0" applyNumberFormat="1" applyFont="1" applyBorder="1" applyAlignment="1">
      <alignment horizontal="center" vertical="center"/>
    </xf>
    <xf numFmtId="3" fontId="21" fillId="0" borderId="1" xfId="0" quotePrefix="1" applyNumberFormat="1" applyFont="1" applyBorder="1" applyAlignment="1">
      <alignment horizontal="center" vertical="center"/>
    </xf>
    <xf numFmtId="0" fontId="21" fillId="0" borderId="1" xfId="0" applyFont="1" applyBorder="1" applyAlignment="1">
      <alignment horizontal="left"/>
    </xf>
    <xf numFmtId="168" fontId="21" fillId="0" borderId="0" xfId="0" applyNumberFormat="1" applyFont="1"/>
    <xf numFmtId="0" fontId="19" fillId="0" borderId="0" xfId="2" applyFont="1" applyAlignment="1">
      <alignment horizontal="left"/>
    </xf>
    <xf numFmtId="165" fontId="17" fillId="8" borderId="2" xfId="0" applyNumberFormat="1" applyFont="1" applyFill="1" applyBorder="1" applyAlignment="1">
      <alignment horizontal="center"/>
    </xf>
    <xf numFmtId="165" fontId="17" fillId="8" borderId="1" xfId="0" applyNumberFormat="1" applyFont="1" applyFill="1" applyBorder="1" applyAlignment="1">
      <alignment horizontal="center"/>
    </xf>
    <xf numFmtId="0" fontId="21" fillId="0" borderId="2" xfId="0" applyFont="1" applyBorder="1"/>
    <xf numFmtId="9" fontId="17" fillId="11" borderId="2" xfId="0" applyNumberFormat="1" applyFont="1" applyFill="1" applyBorder="1" applyAlignment="1">
      <alignment horizontal="center"/>
    </xf>
    <xf numFmtId="0" fontId="21" fillId="12" borderId="1" xfId="0" applyFont="1" applyFill="1" applyBorder="1"/>
    <xf numFmtId="0" fontId="21" fillId="12" borderId="1" xfId="0" quotePrefix="1" applyFont="1" applyFill="1" applyBorder="1" applyAlignment="1">
      <alignment horizontal="center"/>
    </xf>
    <xf numFmtId="169" fontId="21" fillId="12" borderId="1" xfId="0" applyNumberFormat="1" applyFont="1" applyFill="1" applyBorder="1" applyAlignment="1">
      <alignment horizontal="center"/>
    </xf>
    <xf numFmtId="169" fontId="21" fillId="12" borderId="9" xfId="0" applyNumberFormat="1" applyFont="1" applyFill="1" applyBorder="1" applyAlignment="1">
      <alignment horizontal="center" vertical="center"/>
    </xf>
    <xf numFmtId="0" fontId="21" fillId="12" borderId="9" xfId="0" quotePrefix="1" applyFont="1" applyFill="1" applyBorder="1" applyAlignment="1">
      <alignment horizontal="center"/>
    </xf>
    <xf numFmtId="0" fontId="21" fillId="12" borderId="9" xfId="0" applyFont="1" applyFill="1" applyBorder="1"/>
    <xf numFmtId="0" fontId="21" fillId="12" borderId="13" xfId="0" applyFont="1" applyFill="1" applyBorder="1"/>
    <xf numFmtId="0" fontId="21" fillId="12" borderId="13" xfId="0" quotePrefix="1" applyFont="1" applyFill="1" applyBorder="1" applyAlignment="1">
      <alignment horizontal="center"/>
    </xf>
    <xf numFmtId="169" fontId="21" fillId="12" borderId="13" xfId="0" applyNumberFormat="1" applyFont="1" applyFill="1" applyBorder="1" applyAlignment="1">
      <alignment horizontal="center" vertical="center"/>
    </xf>
    <xf numFmtId="0" fontId="22" fillId="12" borderId="1" xfId="0" applyFont="1" applyFill="1" applyBorder="1"/>
    <xf numFmtId="0" fontId="32" fillId="12" borderId="12" xfId="0" applyFont="1" applyFill="1" applyBorder="1"/>
    <xf numFmtId="0" fontId="32" fillId="12" borderId="12" xfId="0" quotePrefix="1" applyFont="1" applyFill="1" applyBorder="1" applyAlignment="1">
      <alignment horizontal="center"/>
    </xf>
    <xf numFmtId="165" fontId="32" fillId="12" borderId="12" xfId="0" applyNumberFormat="1" applyFont="1" applyFill="1" applyBorder="1" applyAlignment="1">
      <alignment horizontal="center" vertical="center"/>
    </xf>
    <xf numFmtId="0" fontId="32" fillId="12" borderId="1" xfId="0" applyFont="1" applyFill="1" applyBorder="1"/>
    <xf numFmtId="0" fontId="32" fillId="12" borderId="1" xfId="0" quotePrefix="1" applyFont="1" applyFill="1" applyBorder="1" applyAlignment="1">
      <alignment horizontal="center"/>
    </xf>
    <xf numFmtId="165" fontId="32" fillId="12" borderId="1" xfId="0" applyNumberFormat="1" applyFont="1" applyFill="1" applyBorder="1" applyAlignment="1">
      <alignment horizontal="center" vertical="center"/>
    </xf>
    <xf numFmtId="0" fontId="21" fillId="5" borderId="1" xfId="0" applyFont="1" applyFill="1" applyBorder="1"/>
    <xf numFmtId="0" fontId="21" fillId="5" borderId="1" xfId="0" quotePrefix="1" applyFont="1" applyFill="1" applyBorder="1" applyAlignment="1">
      <alignment horizontal="center"/>
    </xf>
    <xf numFmtId="169" fontId="21" fillId="5" borderId="1" xfId="0" applyNumberFormat="1" applyFont="1" applyFill="1" applyBorder="1" applyAlignment="1">
      <alignment horizontal="center"/>
    </xf>
    <xf numFmtId="0" fontId="21" fillId="5" borderId="9" xfId="0" quotePrefix="1" applyFont="1" applyFill="1" applyBorder="1" applyAlignment="1">
      <alignment horizontal="center"/>
    </xf>
    <xf numFmtId="0" fontId="21" fillId="5" borderId="13" xfId="0" applyFont="1" applyFill="1" applyBorder="1"/>
    <xf numFmtId="0" fontId="21" fillId="5" borderId="13" xfId="0" quotePrefix="1" applyFont="1" applyFill="1" applyBorder="1" applyAlignment="1">
      <alignment horizontal="center"/>
    </xf>
    <xf numFmtId="165" fontId="30" fillId="0" borderId="2" xfId="0" quotePrefix="1" applyNumberFormat="1" applyFont="1" applyBorder="1" applyAlignment="1">
      <alignment horizontal="center" vertical="center"/>
    </xf>
    <xf numFmtId="165" fontId="30" fillId="0" borderId="1" xfId="0" quotePrefix="1" applyNumberFormat="1" applyFont="1" applyBorder="1" applyAlignment="1">
      <alignment horizontal="center" vertical="center"/>
    </xf>
    <xf numFmtId="169" fontId="32" fillId="12" borderId="2" xfId="0" applyNumberFormat="1" applyFont="1" applyFill="1" applyBorder="1" applyAlignment="1">
      <alignment horizontal="center"/>
    </xf>
    <xf numFmtId="169" fontId="32" fillId="12" borderId="9" xfId="0" applyNumberFormat="1" applyFont="1" applyFill="1" applyBorder="1" applyAlignment="1">
      <alignment horizontal="center" vertical="center"/>
    </xf>
    <xf numFmtId="0" fontId="32" fillId="12" borderId="13" xfId="0" applyFont="1" applyFill="1" applyBorder="1"/>
    <xf numFmtId="0" fontId="32" fillId="12" borderId="13" xfId="0" quotePrefix="1" applyFont="1" applyFill="1" applyBorder="1" applyAlignment="1">
      <alignment horizontal="center"/>
    </xf>
    <xf numFmtId="169" fontId="32" fillId="12" borderId="13" xfId="0" applyNumberFormat="1" applyFont="1" applyFill="1" applyBorder="1" applyAlignment="1">
      <alignment horizontal="center" vertical="center"/>
    </xf>
    <xf numFmtId="3" fontId="21" fillId="0" borderId="1" xfId="0" applyNumberFormat="1" applyFont="1" applyBorder="1" applyAlignment="1">
      <alignment horizontal="center"/>
    </xf>
    <xf numFmtId="165" fontId="17" fillId="0" borderId="1" xfId="0" applyNumberFormat="1" applyFont="1" applyBorder="1"/>
    <xf numFmtId="165" fontId="17" fillId="0" borderId="10" xfId="0" applyNumberFormat="1" applyFont="1" applyBorder="1"/>
    <xf numFmtId="165" fontId="31" fillId="0" borderId="1" xfId="0" applyNumberFormat="1" applyFont="1" applyBorder="1"/>
    <xf numFmtId="169" fontId="32" fillId="12" borderId="33" xfId="0" applyNumberFormat="1" applyFont="1" applyFill="1" applyBorder="1" applyAlignment="1">
      <alignment horizontal="center" vertical="center"/>
    </xf>
    <xf numFmtId="3" fontId="21" fillId="0" borderId="34" xfId="0" applyNumberFormat="1" applyFont="1" applyBorder="1" applyAlignment="1">
      <alignment horizontal="center" vertical="center"/>
    </xf>
    <xf numFmtId="0" fontId="22" fillId="0" borderId="1" xfId="0" applyFont="1" applyBorder="1" applyAlignment="1">
      <alignment horizontal="left"/>
    </xf>
    <xf numFmtId="0" fontId="22" fillId="0" borderId="1" xfId="0" applyFont="1" applyBorder="1"/>
    <xf numFmtId="165" fontId="21" fillId="0" borderId="1" xfId="0" applyNumberFormat="1" applyFont="1" applyBorder="1"/>
    <xf numFmtId="165" fontId="22" fillId="0" borderId="1" xfId="0" applyNumberFormat="1" applyFont="1" applyBorder="1"/>
    <xf numFmtId="165" fontId="21" fillId="0" borderId="34" xfId="0" applyNumberFormat="1" applyFont="1" applyBorder="1" applyAlignment="1">
      <alignment horizontal="center"/>
    </xf>
    <xf numFmtId="169" fontId="21" fillId="0" borderId="34" xfId="0" applyNumberFormat="1" applyFont="1" applyBorder="1" applyAlignment="1">
      <alignment horizontal="center"/>
    </xf>
    <xf numFmtId="169" fontId="21" fillId="5" borderId="34" xfId="0" applyNumberFormat="1" applyFont="1" applyFill="1" applyBorder="1" applyAlignment="1">
      <alignment horizontal="center"/>
    </xf>
    <xf numFmtId="169" fontId="21" fillId="5" borderId="24" xfId="0" applyNumberFormat="1" applyFont="1" applyFill="1" applyBorder="1" applyAlignment="1">
      <alignment horizontal="center" vertical="center"/>
    </xf>
    <xf numFmtId="169" fontId="32" fillId="12" borderId="35" xfId="0" applyNumberFormat="1" applyFont="1" applyFill="1" applyBorder="1" applyAlignment="1">
      <alignment horizontal="center"/>
    </xf>
    <xf numFmtId="169" fontId="32" fillId="12" borderId="24" xfId="0" applyNumberFormat="1" applyFont="1" applyFill="1" applyBorder="1" applyAlignment="1">
      <alignment horizontal="center" vertical="center"/>
    </xf>
    <xf numFmtId="0" fontId="19" fillId="0" borderId="27" xfId="2" applyFont="1" applyBorder="1" applyAlignment="1">
      <alignment horizontal="left"/>
    </xf>
    <xf numFmtId="0" fontId="28" fillId="0" borderId="0" xfId="0" applyFont="1"/>
    <xf numFmtId="9" fontId="21" fillId="13" borderId="35" xfId="0" applyNumberFormat="1" applyFont="1" applyFill="1" applyBorder="1" applyAlignment="1">
      <alignment horizontal="center"/>
    </xf>
    <xf numFmtId="165" fontId="21" fillId="13" borderId="34" xfId="0" applyNumberFormat="1" applyFont="1" applyFill="1" applyBorder="1" applyAlignment="1">
      <alignment horizontal="center"/>
    </xf>
    <xf numFmtId="165" fontId="21" fillId="13" borderId="27" xfId="0" applyNumberFormat="1" applyFont="1" applyFill="1" applyBorder="1" applyAlignment="1">
      <alignment horizontal="center"/>
    </xf>
    <xf numFmtId="165" fontId="21" fillId="13" borderId="35" xfId="0" applyNumberFormat="1" applyFont="1" applyFill="1" applyBorder="1" applyAlignment="1">
      <alignment horizontal="center"/>
    </xf>
    <xf numFmtId="165" fontId="21" fillId="13" borderId="24" xfId="0" applyNumberFormat="1" applyFont="1" applyFill="1" applyBorder="1" applyAlignment="1">
      <alignment horizontal="center"/>
    </xf>
    <xf numFmtId="165" fontId="21" fillId="13" borderId="33" xfId="0" applyNumberFormat="1" applyFont="1" applyFill="1" applyBorder="1" applyAlignment="1">
      <alignment horizontal="center"/>
    </xf>
    <xf numFmtId="165" fontId="21" fillId="13" borderId="30" xfId="0" applyNumberFormat="1" applyFont="1" applyFill="1" applyBorder="1" applyAlignment="1">
      <alignment horizontal="center" vertical="center"/>
    </xf>
    <xf numFmtId="165" fontId="21" fillId="13" borderId="34" xfId="0" applyNumberFormat="1" applyFont="1" applyFill="1" applyBorder="1" applyAlignment="1">
      <alignment horizontal="center" vertical="center"/>
    </xf>
    <xf numFmtId="0" fontId="33" fillId="0" borderId="0" xfId="0" applyFont="1"/>
    <xf numFmtId="0" fontId="21" fillId="0" borderId="0" xfId="0" applyFont="1" applyAlignment="1">
      <alignment horizontal="left"/>
    </xf>
    <xf numFmtId="0" fontId="0" fillId="0" borderId="0" xfId="0" applyAlignment="1">
      <alignment horizontal="left"/>
    </xf>
    <xf numFmtId="0" fontId="29" fillId="0" borderId="5" xfId="0" applyFont="1" applyBorder="1" applyAlignment="1">
      <alignment horizontal="left" vertical="center"/>
    </xf>
    <xf numFmtId="0" fontId="29" fillId="0" borderId="7" xfId="0" applyFont="1" applyBorder="1" applyAlignment="1">
      <alignment horizontal="left" vertical="center"/>
    </xf>
    <xf numFmtId="0" fontId="21" fillId="0" borderId="0" xfId="0" applyFont="1" applyAlignment="1">
      <alignment horizontal="right"/>
    </xf>
    <xf numFmtId="0" fontId="0" fillId="0" borderId="0" xfId="0" applyAlignment="1">
      <alignment horizontal="right"/>
    </xf>
    <xf numFmtId="0" fontId="29" fillId="0" borderId="27" xfId="2" applyFont="1" applyBorder="1" applyAlignment="1">
      <alignment vertical="center"/>
    </xf>
    <xf numFmtId="0" fontId="29" fillId="0" borderId="0" xfId="0" applyFont="1" applyAlignment="1">
      <alignment horizontal="right" vertical="center"/>
    </xf>
    <xf numFmtId="0" fontId="29" fillId="0" borderId="0" xfId="0" applyFont="1" applyAlignment="1">
      <alignment horizontal="left" vertical="center"/>
    </xf>
    <xf numFmtId="0" fontId="29" fillId="0" borderId="0" xfId="0" applyFont="1" applyAlignment="1">
      <alignment vertical="center"/>
    </xf>
    <xf numFmtId="0" fontId="29" fillId="0" borderId="11" xfId="0" applyFont="1" applyBorder="1" applyAlignment="1">
      <alignment vertical="center"/>
    </xf>
    <xf numFmtId="0" fontId="29" fillId="0" borderId="27" xfId="0" applyFont="1" applyBorder="1" applyAlignment="1">
      <alignment vertical="center"/>
    </xf>
    <xf numFmtId="0" fontId="29" fillId="0" borderId="24" xfId="0" applyFont="1" applyBorder="1" applyAlignment="1">
      <alignment vertical="center"/>
    </xf>
    <xf numFmtId="0" fontId="29" fillId="0" borderId="25" xfId="0" applyFont="1" applyBorder="1" applyAlignment="1">
      <alignment horizontal="left" vertical="center"/>
    </xf>
    <xf numFmtId="0" fontId="29" fillId="0" borderId="25" xfId="0" applyFont="1" applyBorder="1" applyAlignment="1">
      <alignment horizontal="right" vertical="center"/>
    </xf>
    <xf numFmtId="0" fontId="29" fillId="0" borderId="25" xfId="0" applyFont="1" applyBorder="1" applyAlignment="1">
      <alignment vertical="center"/>
    </xf>
    <xf numFmtId="0" fontId="29" fillId="0" borderId="26" xfId="0" applyFont="1" applyBorder="1" applyAlignment="1">
      <alignment vertical="center"/>
    </xf>
    <xf numFmtId="0" fontId="29" fillId="0" borderId="0" xfId="2" applyFont="1" applyAlignment="1">
      <alignment horizontal="left" vertical="center"/>
    </xf>
    <xf numFmtId="0" fontId="29" fillId="0" borderId="0" xfId="2" applyFont="1" applyAlignment="1">
      <alignment horizontal="right" vertical="center"/>
    </xf>
    <xf numFmtId="164" fontId="29" fillId="0" borderId="0" xfId="2" applyNumberFormat="1" applyFont="1" applyAlignment="1">
      <alignment horizontal="right" vertical="center"/>
    </xf>
    <xf numFmtId="0" fontId="29" fillId="0" borderId="11" xfId="2" applyFont="1" applyBorder="1" applyAlignment="1">
      <alignment horizontal="left" vertical="center"/>
    </xf>
    <xf numFmtId="0" fontId="34" fillId="0" borderId="0" xfId="0" applyFont="1" applyAlignment="1">
      <alignment vertical="center"/>
    </xf>
    <xf numFmtId="0" fontId="34" fillId="0" borderId="0" xfId="0" applyFont="1" applyAlignment="1">
      <alignment horizontal="right" vertical="center"/>
    </xf>
    <xf numFmtId="0" fontId="34" fillId="0" borderId="11" xfId="0" applyFont="1" applyBorder="1" applyAlignment="1">
      <alignment vertical="center"/>
    </xf>
    <xf numFmtId="0" fontId="34" fillId="0" borderId="0" xfId="0" applyFont="1" applyAlignment="1">
      <alignment horizontal="left" vertical="center"/>
    </xf>
    <xf numFmtId="0" fontId="36" fillId="0" borderId="30" xfId="0" applyFont="1" applyBorder="1" applyAlignment="1">
      <alignment vertical="center"/>
    </xf>
    <xf numFmtId="0" fontId="36" fillId="0" borderId="31" xfId="0" applyFont="1" applyBorder="1" applyAlignment="1">
      <alignment horizontal="left" vertical="center"/>
    </xf>
    <xf numFmtId="0" fontId="36" fillId="0" borderId="31" xfId="0" applyFont="1" applyBorder="1" applyAlignment="1">
      <alignment horizontal="right" vertical="center"/>
    </xf>
    <xf numFmtId="0" fontId="36" fillId="0" borderId="31" xfId="0" applyFont="1" applyBorder="1" applyAlignment="1">
      <alignment vertical="center"/>
    </xf>
    <xf numFmtId="0" fontId="34" fillId="0" borderId="11" xfId="2" applyFont="1" applyBorder="1" applyAlignment="1">
      <alignment horizontal="left" vertical="center"/>
    </xf>
    <xf numFmtId="0" fontId="34" fillId="0" borderId="11" xfId="0" applyFont="1" applyBorder="1" applyAlignment="1">
      <alignment horizontal="left" vertical="center"/>
    </xf>
    <xf numFmtId="9" fontId="34" fillId="0" borderId="0" xfId="0" applyNumberFormat="1" applyFont="1" applyAlignment="1">
      <alignment horizontal="right" vertical="center"/>
    </xf>
    <xf numFmtId="0" fontId="34" fillId="0" borderId="0" xfId="0" applyFont="1" applyAlignment="1">
      <alignment horizontal="center" vertical="center"/>
    </xf>
    <xf numFmtId="0" fontId="34" fillId="10" borderId="0" xfId="2" applyFont="1" applyFill="1" applyAlignment="1">
      <alignment horizontal="left" vertical="center"/>
    </xf>
    <xf numFmtId="0" fontId="34" fillId="10" borderId="11" xfId="2" applyFont="1" applyFill="1" applyBorder="1" applyAlignment="1">
      <alignment horizontal="left" vertical="center"/>
    </xf>
    <xf numFmtId="0" fontId="34" fillId="10" borderId="0" xfId="0" applyFont="1" applyFill="1" applyAlignment="1">
      <alignment horizontal="left" vertical="center"/>
    </xf>
    <xf numFmtId="0" fontId="34" fillId="10" borderId="11" xfId="0" applyFont="1" applyFill="1" applyBorder="1" applyAlignment="1">
      <alignment horizontal="left" vertical="center"/>
    </xf>
    <xf numFmtId="0" fontId="29" fillId="6" borderId="27" xfId="0" applyFont="1" applyFill="1" applyBorder="1" applyAlignment="1">
      <alignment vertical="center"/>
    </xf>
    <xf numFmtId="0" fontId="34" fillId="10" borderId="0" xfId="2" applyFont="1" applyFill="1" applyAlignment="1">
      <alignment horizontal="right" vertical="center"/>
    </xf>
    <xf numFmtId="0" fontId="34" fillId="10" borderId="0" xfId="0" applyFont="1" applyFill="1" applyAlignment="1">
      <alignment horizontal="right" vertical="center"/>
    </xf>
    <xf numFmtId="164" fontId="34" fillId="10" borderId="0" xfId="2" applyNumberFormat="1" applyFont="1" applyFill="1" applyAlignment="1">
      <alignment horizontal="right" vertical="center"/>
    </xf>
    <xf numFmtId="0" fontId="37" fillId="0" borderId="0" xfId="0" applyFont="1" applyAlignment="1">
      <alignment horizontal="left" vertical="center"/>
    </xf>
    <xf numFmtId="0" fontId="29" fillId="0" borderId="0" xfId="0" applyFont="1" applyAlignment="1">
      <alignment horizontal="left" vertical="center" indent="1"/>
    </xf>
    <xf numFmtId="0" fontId="35" fillId="0" borderId="0" xfId="0" applyFont="1"/>
    <xf numFmtId="1" fontId="29" fillId="0" borderId="0" xfId="0" applyNumberFormat="1" applyFont="1" applyAlignment="1">
      <alignment horizontal="right" vertical="center"/>
    </xf>
    <xf numFmtId="1" fontId="29" fillId="0" borderId="0" xfId="0" applyNumberFormat="1" applyFont="1" applyAlignment="1">
      <alignment horizontal="left" vertical="center"/>
    </xf>
    <xf numFmtId="3" fontId="30" fillId="0" borderId="0" xfId="0" applyNumberFormat="1" applyFont="1" applyAlignment="1">
      <alignment horizontal="center" vertical="center"/>
    </xf>
    <xf numFmtId="3" fontId="29" fillId="0" borderId="0" xfId="0" applyNumberFormat="1" applyFont="1" applyAlignment="1">
      <alignment horizontal="center" vertical="center"/>
    </xf>
    <xf numFmtId="0" fontId="38" fillId="0" borderId="36" xfId="1" applyFont="1" applyFill="1" applyBorder="1"/>
    <xf numFmtId="0" fontId="38" fillId="0" borderId="0" xfId="1" applyFont="1" applyAlignment="1">
      <alignment horizontal="left" vertical="center"/>
    </xf>
    <xf numFmtId="0" fontId="12" fillId="0" borderId="2" xfId="0" applyFont="1" applyBorder="1"/>
    <xf numFmtId="0" fontId="12" fillId="0" borderId="12" xfId="0" applyFont="1" applyBorder="1"/>
    <xf numFmtId="9" fontId="21" fillId="0" borderId="12" xfId="0" applyNumberFormat="1" applyFont="1" applyBorder="1" applyAlignment="1">
      <alignment horizontal="center"/>
    </xf>
    <xf numFmtId="0" fontId="37" fillId="0" borderId="1" xfId="0" applyFont="1" applyBorder="1"/>
    <xf numFmtId="9" fontId="17" fillId="0" borderId="11" xfId="0" applyNumberFormat="1" applyFont="1" applyBorder="1" applyAlignment="1">
      <alignment vertical="top" wrapText="1"/>
    </xf>
    <xf numFmtId="9" fontId="12" fillId="0" borderId="11" xfId="0" applyNumberFormat="1" applyFont="1" applyBorder="1"/>
    <xf numFmtId="9" fontId="21" fillId="0" borderId="31" xfId="0" applyNumberFormat="1" applyFont="1" applyBorder="1" applyAlignment="1">
      <alignment horizontal="center" vertical="center"/>
    </xf>
    <xf numFmtId="9" fontId="21" fillId="14" borderId="31" xfId="0" applyNumberFormat="1" applyFont="1" applyFill="1" applyBorder="1" applyAlignment="1">
      <alignment horizontal="center" vertical="center"/>
    </xf>
    <xf numFmtId="0" fontId="36" fillId="0" borderId="32" xfId="0" applyFont="1" applyBorder="1" applyAlignment="1">
      <alignment vertical="center"/>
    </xf>
    <xf numFmtId="0" fontId="11" fillId="0" borderId="1" xfId="0" applyFont="1" applyBorder="1"/>
    <xf numFmtId="0" fontId="42" fillId="0" borderId="0" xfId="0" applyFont="1"/>
    <xf numFmtId="0" fontId="10" fillId="0" borderId="1" xfId="0" applyFont="1" applyBorder="1"/>
    <xf numFmtId="169" fontId="37" fillId="5" borderId="1" xfId="0" applyNumberFormat="1" applyFont="1" applyFill="1" applyBorder="1" applyAlignment="1">
      <alignment horizontal="center"/>
    </xf>
    <xf numFmtId="9" fontId="37" fillId="15" borderId="2" xfId="0" applyNumberFormat="1" applyFont="1" applyFill="1" applyBorder="1" applyAlignment="1">
      <alignment horizontal="center"/>
    </xf>
    <xf numFmtId="0" fontId="9" fillId="0" borderId="1" xfId="0" applyFont="1" applyBorder="1"/>
    <xf numFmtId="0" fontId="8" fillId="0" borderId="27" xfId="0" applyFont="1" applyBorder="1" applyAlignment="1">
      <alignment horizontal="center" vertical="center"/>
    </xf>
    <xf numFmtId="165" fontId="41" fillId="0" borderId="30" xfId="0" applyNumberFormat="1" applyFont="1" applyBorder="1" applyAlignment="1">
      <alignment vertical="center"/>
    </xf>
    <xf numFmtId="9" fontId="8" fillId="0" borderId="26" xfId="0" applyNumberFormat="1" applyFont="1" applyBorder="1" applyAlignment="1">
      <alignment horizontal="center" vertical="center"/>
    </xf>
    <xf numFmtId="9" fontId="8" fillId="0" borderId="11" xfId="0" applyNumberFormat="1" applyFont="1" applyBorder="1" applyAlignment="1">
      <alignment horizontal="center" vertical="center"/>
    </xf>
    <xf numFmtId="9" fontId="8" fillId="14" borderId="11" xfId="0" applyNumberFormat="1" applyFont="1" applyFill="1" applyBorder="1" applyAlignment="1">
      <alignment horizontal="center" vertical="center"/>
    </xf>
    <xf numFmtId="165" fontId="8" fillId="0" borderId="24" xfId="0" applyNumberFormat="1" applyFont="1" applyBorder="1" applyAlignment="1">
      <alignment horizontal="center" vertical="center"/>
    </xf>
    <xf numFmtId="165" fontId="8" fillId="0" borderId="27" xfId="0" applyNumberFormat="1" applyFont="1" applyBorder="1" applyAlignment="1">
      <alignment horizontal="center" vertical="center"/>
    </xf>
    <xf numFmtId="165" fontId="8" fillId="14" borderId="27" xfId="0" applyNumberFormat="1" applyFont="1" applyFill="1" applyBorder="1" applyAlignment="1">
      <alignment horizontal="center" vertical="center"/>
    </xf>
    <xf numFmtId="0" fontId="17" fillId="0" borderId="3" xfId="0" applyFont="1" applyBorder="1" applyAlignment="1">
      <alignment horizontal="left" vertical="center"/>
    </xf>
    <xf numFmtId="9" fontId="7" fillId="0" borderId="11" xfId="0" applyNumberFormat="1" applyFont="1" applyBorder="1"/>
    <xf numFmtId="0" fontId="7" fillId="0" borderId="1" xfId="0" applyFont="1" applyBorder="1"/>
    <xf numFmtId="9" fontId="7" fillId="0" borderId="31" xfId="0" applyNumberFormat="1" applyFont="1" applyBorder="1" applyAlignment="1">
      <alignment horizontal="center"/>
    </xf>
    <xf numFmtId="9" fontId="7" fillId="14" borderId="31" xfId="0" applyNumberFormat="1" applyFont="1" applyFill="1" applyBorder="1" applyAlignment="1">
      <alignment horizontal="center"/>
    </xf>
    <xf numFmtId="9" fontId="7" fillId="14" borderId="11" xfId="0" applyNumberFormat="1" applyFont="1" applyFill="1" applyBorder="1"/>
    <xf numFmtId="0" fontId="6" fillId="0" borderId="12" xfId="0" applyFont="1" applyBorder="1"/>
    <xf numFmtId="9" fontId="17" fillId="0" borderId="11" xfId="0" applyNumberFormat="1" applyFont="1" applyBorder="1" applyAlignment="1">
      <alignment horizontal="right" vertical="top" wrapText="1"/>
    </xf>
    <xf numFmtId="9" fontId="17" fillId="14" borderId="11" xfId="0" applyNumberFormat="1" applyFont="1" applyFill="1" applyBorder="1" applyAlignment="1">
      <alignment vertical="top" wrapText="1"/>
    </xf>
    <xf numFmtId="9" fontId="17" fillId="0" borderId="0" xfId="0" applyNumberFormat="1" applyFont="1" applyAlignment="1">
      <alignment vertical="top" wrapText="1"/>
    </xf>
    <xf numFmtId="165" fontId="27" fillId="9" borderId="14" xfId="0" applyNumberFormat="1" applyFont="1" applyFill="1" applyBorder="1" applyAlignment="1">
      <alignment horizontal="left" wrapText="1"/>
    </xf>
    <xf numFmtId="165" fontId="21" fillId="7" borderId="14" xfId="0" applyNumberFormat="1" applyFont="1" applyFill="1" applyBorder="1" applyAlignment="1">
      <alignment horizontal="left" wrapText="1"/>
    </xf>
    <xf numFmtId="0" fontId="22" fillId="7" borderId="1" xfId="0" applyFont="1" applyFill="1" applyBorder="1" applyAlignment="1">
      <alignment horizontal="left" vertical="center" wrapText="1"/>
    </xf>
    <xf numFmtId="0" fontId="22" fillId="7" borderId="1" xfId="0" applyFont="1" applyFill="1" applyBorder="1" applyAlignment="1">
      <alignment horizontal="left" vertical="center"/>
    </xf>
    <xf numFmtId="0" fontId="21" fillId="7" borderId="1" xfId="0" applyFont="1" applyFill="1" applyBorder="1" applyAlignment="1">
      <alignment horizontal="left" wrapText="1"/>
    </xf>
    <xf numFmtId="0" fontId="19" fillId="2" borderId="27" xfId="2" applyFont="1" applyFill="1" applyBorder="1" applyAlignment="1">
      <alignment horizontal="left"/>
    </xf>
    <xf numFmtId="9" fontId="6" fillId="0" borderId="1" xfId="0" applyNumberFormat="1" applyFont="1" applyBorder="1" applyAlignment="1">
      <alignment horizontal="center" vertical="center"/>
    </xf>
    <xf numFmtId="0" fontId="6" fillId="0" borderId="0" xfId="0" applyFont="1"/>
    <xf numFmtId="0" fontId="6" fillId="0" borderId="1" xfId="0" applyFont="1" applyBorder="1" applyAlignment="1">
      <alignment horizontal="center" vertical="center"/>
    </xf>
    <xf numFmtId="1" fontId="6" fillId="0" borderId="1" xfId="0" applyNumberFormat="1" applyFont="1" applyBorder="1" applyAlignment="1">
      <alignment horizontal="center" vertical="center"/>
    </xf>
    <xf numFmtId="0" fontId="19" fillId="2" borderId="26" xfId="2" applyFont="1" applyFill="1" applyBorder="1" applyAlignment="1">
      <alignment horizontal="left"/>
    </xf>
    <xf numFmtId="0" fontId="21" fillId="0" borderId="11" xfId="0" applyFont="1" applyBorder="1"/>
    <xf numFmtId="0" fontId="40" fillId="0" borderId="0" xfId="0" applyFont="1"/>
    <xf numFmtId="165" fontId="0" fillId="0" borderId="0" xfId="0" applyNumberFormat="1"/>
    <xf numFmtId="9" fontId="0" fillId="0" borderId="0" xfId="0" applyNumberFormat="1"/>
    <xf numFmtId="9" fontId="40" fillId="0" borderId="0" xfId="0" applyNumberFormat="1" applyFont="1"/>
    <xf numFmtId="0" fontId="39" fillId="0" borderId="0" xfId="0" applyFont="1"/>
    <xf numFmtId="0" fontId="31" fillId="0" borderId="0" xfId="0" applyFont="1" applyAlignment="1">
      <alignment horizontal="left" vertical="top" wrapText="1"/>
    </xf>
    <xf numFmtId="2" fontId="41" fillId="0" borderId="0" xfId="0" applyNumberFormat="1" applyFont="1"/>
    <xf numFmtId="0" fontId="21" fillId="0" borderId="0" xfId="0" applyFont="1" applyAlignment="1">
      <alignment horizontal="center" vertical="center"/>
    </xf>
    <xf numFmtId="165" fontId="21" fillId="0" borderId="0" xfId="0" applyNumberFormat="1" applyFont="1" applyAlignment="1">
      <alignment horizontal="center" vertical="center"/>
    </xf>
    <xf numFmtId="0" fontId="0" fillId="0" borderId="11" xfId="0" applyBorder="1"/>
    <xf numFmtId="0" fontId="31" fillId="0" borderId="0" xfId="0" applyFont="1" applyAlignment="1">
      <alignment vertical="top" wrapText="1"/>
    </xf>
    <xf numFmtId="165" fontId="17" fillId="0" borderId="0" xfId="0" applyNumberFormat="1" applyFont="1" applyAlignment="1">
      <alignment horizontal="right" vertical="top" wrapText="1"/>
    </xf>
    <xf numFmtId="0" fontId="0" fillId="0" borderId="0" xfId="0" applyAlignment="1">
      <alignment textRotation="90"/>
    </xf>
    <xf numFmtId="2" fontId="0" fillId="0" borderId="0" xfId="0" applyNumberFormat="1"/>
    <xf numFmtId="0" fontId="7" fillId="0" borderId="0" xfId="0" applyFont="1"/>
    <xf numFmtId="165" fontId="41" fillId="0" borderId="0" xfId="0" applyNumberFormat="1" applyFont="1"/>
    <xf numFmtId="165" fontId="7" fillId="0" borderId="0" xfId="0" applyNumberFormat="1" applyFont="1" applyAlignment="1">
      <alignment horizontal="center"/>
    </xf>
    <xf numFmtId="165" fontId="7" fillId="14" borderId="0" xfId="0" applyNumberFormat="1" applyFont="1" applyFill="1" applyAlignment="1">
      <alignment horizontal="center"/>
    </xf>
    <xf numFmtId="164" fontId="44" fillId="2" borderId="0" xfId="2" applyNumberFormat="1" applyFont="1" applyFill="1" applyAlignment="1">
      <alignment horizontal="center"/>
    </xf>
    <xf numFmtId="0" fontId="44" fillId="2" borderId="0" xfId="2" applyFont="1" applyFill="1"/>
    <xf numFmtId="0" fontId="0" fillId="2" borderId="0" xfId="0" applyFill="1"/>
    <xf numFmtId="0" fontId="0" fillId="2" borderId="11" xfId="0" applyFill="1" applyBorder="1"/>
    <xf numFmtId="0" fontId="0" fillId="0" borderId="31" xfId="0" applyBorder="1"/>
    <xf numFmtId="0" fontId="20" fillId="0" borderId="27" xfId="0" applyFont="1" applyBorder="1"/>
    <xf numFmtId="0" fontId="0" fillId="0" borderId="27" xfId="0" applyBorder="1"/>
    <xf numFmtId="0" fontId="12" fillId="0" borderId="27" xfId="0" applyFont="1" applyBorder="1"/>
    <xf numFmtId="0" fontId="31" fillId="0" borderId="27" xfId="0" applyFont="1" applyBorder="1" applyAlignment="1">
      <alignment horizontal="left" vertical="top" wrapText="1"/>
    </xf>
    <xf numFmtId="9" fontId="17" fillId="0" borderId="27" xfId="0" applyNumberFormat="1" applyFont="1" applyBorder="1" applyAlignment="1">
      <alignment horizontal="right" vertical="top" wrapText="1"/>
    </xf>
    <xf numFmtId="49" fontId="0" fillId="0" borderId="27" xfId="0" applyNumberFormat="1" applyBorder="1"/>
    <xf numFmtId="0" fontId="6" fillId="0" borderId="30" xfId="0" applyFont="1" applyBorder="1"/>
    <xf numFmtId="0" fontId="6" fillId="0" borderId="0" xfId="0" applyFont="1" applyAlignment="1">
      <alignment horizontal="left" vertical="top" wrapText="1"/>
    </xf>
    <xf numFmtId="0" fontId="6" fillId="0" borderId="11" xfId="0" applyFont="1" applyBorder="1" applyAlignment="1">
      <alignment horizontal="left" vertical="top" wrapText="1"/>
    </xf>
    <xf numFmtId="0" fontId="6" fillId="0" borderId="27" xfId="0" applyFont="1" applyBorder="1" applyAlignment="1">
      <alignment horizontal="left" vertical="top" wrapText="1"/>
    </xf>
    <xf numFmtId="0" fontId="6" fillId="7" borderId="1" xfId="0" applyFont="1" applyFill="1" applyBorder="1" applyAlignment="1">
      <alignment vertical="center" wrapText="1"/>
    </xf>
    <xf numFmtId="0" fontId="19" fillId="10" borderId="25" xfId="2" applyFont="1" applyFill="1" applyBorder="1" applyAlignment="1">
      <alignment horizontal="left"/>
    </xf>
    <xf numFmtId="0" fontId="20" fillId="0" borderId="0" xfId="0" applyFont="1"/>
    <xf numFmtId="0" fontId="21" fillId="0" borderId="40" xfId="0" applyFont="1" applyBorder="1"/>
    <xf numFmtId="0" fontId="5" fillId="0" borderId="1" xfId="0" applyFont="1" applyBorder="1"/>
    <xf numFmtId="0" fontId="31" fillId="0" borderId="0" xfId="0" applyFont="1" applyAlignment="1">
      <alignment horizontal="left" vertical="center"/>
    </xf>
    <xf numFmtId="0" fontId="46" fillId="2" borderId="0" xfId="2" applyFont="1" applyFill="1" applyAlignment="1">
      <alignment horizontal="left"/>
    </xf>
    <xf numFmtId="0" fontId="19" fillId="2" borderId="11" xfId="2" applyFont="1" applyFill="1" applyBorder="1" applyAlignment="1">
      <alignment horizontal="left"/>
    </xf>
    <xf numFmtId="0" fontId="19" fillId="2" borderId="24" xfId="2" applyFont="1" applyFill="1" applyBorder="1" applyAlignment="1">
      <alignment horizontal="left"/>
    </xf>
    <xf numFmtId="0" fontId="46" fillId="2" borderId="25" xfId="2" applyFont="1" applyFill="1" applyBorder="1" applyAlignment="1">
      <alignment horizontal="left"/>
    </xf>
    <xf numFmtId="0" fontId="4" fillId="7" borderId="14" xfId="0" applyFont="1" applyFill="1" applyBorder="1" applyAlignment="1">
      <alignment wrapText="1"/>
    </xf>
    <xf numFmtId="0" fontId="46" fillId="0" borderId="0" xfId="2" applyFont="1" applyAlignment="1">
      <alignment horizontal="left"/>
    </xf>
    <xf numFmtId="0" fontId="19" fillId="0" borderId="11" xfId="2" applyFont="1" applyBorder="1" applyAlignment="1">
      <alignment horizontal="left"/>
    </xf>
    <xf numFmtId="0" fontId="0" fillId="0" borderId="32" xfId="0" applyBorder="1"/>
    <xf numFmtId="0" fontId="17" fillId="0" borderId="0" xfId="0" applyFont="1" applyAlignment="1">
      <alignment horizontal="left" vertical="center"/>
    </xf>
    <xf numFmtId="1" fontId="37" fillId="0" borderId="4" xfId="0" applyNumberFormat="1" applyFont="1" applyBorder="1" applyAlignment="1">
      <alignment horizontal="left" vertical="center"/>
    </xf>
    <xf numFmtId="1" fontId="37" fillId="0" borderId="6" xfId="0" applyNumberFormat="1" applyFont="1" applyBorder="1" applyAlignment="1">
      <alignment horizontal="center" vertical="center"/>
    </xf>
    <xf numFmtId="1" fontId="37" fillId="0" borderId="8" xfId="0" applyNumberFormat="1" applyFont="1" applyBorder="1" applyAlignment="1">
      <alignment horizontal="center" vertical="center"/>
    </xf>
    <xf numFmtId="0" fontId="48" fillId="6" borderId="1" xfId="0" applyFont="1" applyFill="1" applyBorder="1" applyAlignment="1">
      <alignment horizontal="center" vertical="center"/>
    </xf>
    <xf numFmtId="0" fontId="47" fillId="6" borderId="1" xfId="0" applyFont="1" applyFill="1" applyBorder="1" applyAlignment="1">
      <alignment horizontal="center" vertical="center"/>
    </xf>
    <xf numFmtId="0" fontId="29" fillId="0" borderId="1" xfId="0" applyFont="1" applyBorder="1" applyAlignment="1">
      <alignment horizontal="left" vertical="center" indent="1"/>
    </xf>
    <xf numFmtId="0" fontId="38" fillId="0" borderId="1" xfId="1" applyFont="1" applyBorder="1" applyAlignment="1">
      <alignment horizontal="left" vertical="center"/>
    </xf>
    <xf numFmtId="0" fontId="37" fillId="0" borderId="1" xfId="0" applyFont="1" applyBorder="1" applyAlignment="1">
      <alignment horizontal="left" vertical="center"/>
    </xf>
    <xf numFmtId="0" fontId="37" fillId="2" borderId="1" xfId="0" applyFont="1" applyFill="1" applyBorder="1" applyAlignment="1">
      <alignment horizontal="center" vertical="center"/>
    </xf>
    <xf numFmtId="9" fontId="37" fillId="2" borderId="1" xfId="0" applyNumberFormat="1" applyFont="1" applyFill="1" applyBorder="1" applyAlignment="1">
      <alignment horizontal="center" vertical="center"/>
    </xf>
    <xf numFmtId="0" fontId="48" fillId="6" borderId="9" xfId="0" applyFont="1" applyFill="1" applyBorder="1" applyAlignment="1">
      <alignment horizontal="center" vertical="center"/>
    </xf>
    <xf numFmtId="1" fontId="37" fillId="2" borderId="1" xfId="0" applyNumberFormat="1" applyFont="1" applyFill="1" applyBorder="1" applyAlignment="1">
      <alignment horizontal="center" vertical="center"/>
    </xf>
    <xf numFmtId="0" fontId="29" fillId="0" borderId="42" xfId="0" applyFont="1" applyBorder="1" applyAlignment="1">
      <alignment horizontal="left" vertical="center" indent="1"/>
    </xf>
    <xf numFmtId="0" fontId="29" fillId="0" borderId="42" xfId="0" applyFont="1" applyBorder="1" applyAlignment="1">
      <alignment horizontal="left" vertical="center"/>
    </xf>
    <xf numFmtId="0" fontId="17" fillId="0" borderId="42" xfId="0" applyFont="1" applyBorder="1" applyAlignment="1">
      <alignment horizontal="left" vertical="center" indent="1"/>
    </xf>
    <xf numFmtId="0" fontId="38" fillId="0" borderId="42" xfId="1" applyFont="1" applyBorder="1" applyAlignment="1">
      <alignment horizontal="left" vertical="center"/>
    </xf>
    <xf numFmtId="165" fontId="29" fillId="0" borderId="1" xfId="0" applyNumberFormat="1" applyFont="1" applyBorder="1" applyAlignment="1">
      <alignment horizontal="center" vertical="center"/>
    </xf>
    <xf numFmtId="9" fontId="29" fillId="0" borderId="1" xfId="0" applyNumberFormat="1" applyFont="1" applyBorder="1" applyAlignment="1">
      <alignment horizontal="center" vertical="center"/>
    </xf>
    <xf numFmtId="0" fontId="48" fillId="6" borderId="9" xfId="0" applyFont="1" applyFill="1" applyBorder="1" applyAlignment="1">
      <alignment horizontal="center" vertical="center" wrapText="1"/>
    </xf>
    <xf numFmtId="165" fontId="37" fillId="8" borderId="1" xfId="0" applyNumberFormat="1" applyFont="1" applyFill="1" applyBorder="1" applyAlignment="1">
      <alignment horizontal="center" vertical="center"/>
    </xf>
    <xf numFmtId="1" fontId="29" fillId="15" borderId="1" xfId="0" applyNumberFormat="1" applyFont="1" applyFill="1" applyBorder="1" applyAlignment="1">
      <alignment horizontal="center" vertical="center"/>
    </xf>
    <xf numFmtId="1" fontId="29" fillId="0" borderId="1" xfId="0" applyNumberFormat="1" applyFont="1" applyBorder="1" applyAlignment="1">
      <alignment horizontal="center" vertical="center"/>
    </xf>
    <xf numFmtId="0" fontId="37" fillId="0" borderId="1" xfId="0" applyFont="1" applyBorder="1" applyAlignment="1">
      <alignment horizontal="left" vertical="center" indent="1"/>
    </xf>
    <xf numFmtId="1" fontId="37" fillId="15" borderId="1" xfId="0" applyNumberFormat="1" applyFont="1" applyFill="1" applyBorder="1" applyAlignment="1">
      <alignment horizontal="center" vertical="center"/>
    </xf>
    <xf numFmtId="1" fontId="37" fillId="2" borderId="42" xfId="0" applyNumberFormat="1" applyFont="1" applyFill="1" applyBorder="1" applyAlignment="1">
      <alignment horizontal="center" vertical="center"/>
    </xf>
    <xf numFmtId="1" fontId="29" fillId="15" borderId="42" xfId="0" applyNumberFormat="1" applyFont="1" applyFill="1" applyBorder="1" applyAlignment="1">
      <alignment horizontal="center" vertical="center"/>
    </xf>
    <xf numFmtId="1" fontId="29" fillId="0" borderId="42" xfId="0" applyNumberFormat="1" applyFont="1" applyBorder="1" applyAlignment="1">
      <alignment horizontal="center" vertical="center"/>
    </xf>
    <xf numFmtId="0" fontId="17" fillId="0" borderId="1" xfId="0" applyFont="1" applyBorder="1" applyAlignment="1">
      <alignment horizontal="left" vertical="center"/>
    </xf>
    <xf numFmtId="3" fontId="29" fillId="0" borderId="42" xfId="0" applyNumberFormat="1" applyFont="1" applyBorder="1" applyAlignment="1">
      <alignment horizontal="center" vertical="center"/>
    </xf>
    <xf numFmtId="0" fontId="37" fillId="0" borderId="42" xfId="0" applyFont="1" applyBorder="1" applyAlignment="1">
      <alignment horizontal="left" vertical="center"/>
    </xf>
    <xf numFmtId="0" fontId="38" fillId="0" borderId="42" xfId="1" applyFont="1" applyFill="1" applyBorder="1"/>
    <xf numFmtId="3" fontId="37" fillId="2" borderId="42" xfId="0" applyNumberFormat="1" applyFont="1" applyFill="1" applyBorder="1" applyAlignment="1">
      <alignment horizontal="center" vertical="center"/>
    </xf>
    <xf numFmtId="3" fontId="37" fillId="2" borderId="1" xfId="0" applyNumberFormat="1" applyFont="1" applyFill="1" applyBorder="1" applyAlignment="1">
      <alignment horizontal="center" vertical="center"/>
    </xf>
    <xf numFmtId="0" fontId="17" fillId="0" borderId="1" xfId="2" applyFont="1" applyBorder="1" applyAlignment="1">
      <alignment horizontal="left" vertical="center" indent="1"/>
    </xf>
    <xf numFmtId="0" fontId="37" fillId="0" borderId="1" xfId="2" applyFont="1" applyBorder="1" applyAlignment="1">
      <alignment horizontal="left" vertical="center" wrapText="1"/>
    </xf>
    <xf numFmtId="0" fontId="29" fillId="0" borderId="1" xfId="0" applyFont="1" applyBorder="1" applyAlignment="1">
      <alignment horizontal="right" vertical="center"/>
    </xf>
    <xf numFmtId="165" fontId="37" fillId="2" borderId="1" xfId="0" applyNumberFormat="1" applyFont="1" applyFill="1" applyBorder="1" applyAlignment="1">
      <alignment horizontal="center" vertical="center"/>
    </xf>
    <xf numFmtId="0" fontId="29" fillId="0" borderId="1" xfId="2" applyFont="1" applyBorder="1" applyAlignment="1">
      <alignment horizontal="left" vertical="center" indent="1"/>
    </xf>
    <xf numFmtId="171" fontId="37" fillId="2" borderId="1" xfId="0" applyNumberFormat="1" applyFont="1" applyFill="1" applyBorder="1" applyAlignment="1">
      <alignment horizontal="center" vertical="center"/>
    </xf>
    <xf numFmtId="0" fontId="49" fillId="6" borderId="9" xfId="0" applyFont="1" applyFill="1" applyBorder="1" applyAlignment="1">
      <alignment horizontal="center" vertical="center"/>
    </xf>
    <xf numFmtId="9" fontId="37" fillId="2" borderId="2" xfId="0" applyNumberFormat="1" applyFont="1" applyFill="1" applyBorder="1" applyAlignment="1">
      <alignment horizontal="center"/>
    </xf>
    <xf numFmtId="165" fontId="37" fillId="2" borderId="2" xfId="0" applyNumberFormat="1" applyFont="1" applyFill="1" applyBorder="1" applyAlignment="1">
      <alignment horizontal="center"/>
    </xf>
    <xf numFmtId="165" fontId="37" fillId="2" borderId="1" xfId="0" applyNumberFormat="1" applyFont="1" applyFill="1" applyBorder="1" applyAlignment="1">
      <alignment horizontal="center"/>
    </xf>
    <xf numFmtId="0" fontId="18" fillId="2" borderId="0" xfId="2" applyFont="1" applyFill="1" applyAlignment="1">
      <alignment horizontal="left"/>
    </xf>
    <xf numFmtId="0" fontId="50" fillId="0" borderId="0" xfId="0" applyFont="1"/>
    <xf numFmtId="165" fontId="37" fillId="2" borderId="2" xfId="0" applyNumberFormat="1" applyFont="1" applyFill="1" applyBorder="1" applyAlignment="1">
      <alignment horizontal="center" vertical="center"/>
    </xf>
    <xf numFmtId="0" fontId="21" fillId="0" borderId="25" xfId="0" applyFont="1" applyBorder="1"/>
    <xf numFmtId="0" fontId="21" fillId="0" borderId="43" xfId="0" applyFont="1" applyBorder="1"/>
    <xf numFmtId="0" fontId="51" fillId="6" borderId="1" xfId="0" applyFont="1" applyFill="1" applyBorder="1" applyAlignment="1">
      <alignment horizontal="center"/>
    </xf>
    <xf numFmtId="0" fontId="51" fillId="6" borderId="1" xfId="0" applyFont="1" applyFill="1" applyBorder="1" applyAlignment="1">
      <alignment horizontal="left"/>
    </xf>
    <xf numFmtId="3" fontId="37" fillId="2" borderId="12" xfId="0" applyNumberFormat="1" applyFont="1" applyFill="1" applyBorder="1" applyAlignment="1">
      <alignment horizontal="center" vertical="center"/>
    </xf>
    <xf numFmtId="0" fontId="22" fillId="0" borderId="31" xfId="0" applyFont="1" applyBorder="1"/>
    <xf numFmtId="0" fontId="51" fillId="0" borderId="1" xfId="0" applyFont="1" applyBorder="1" applyAlignment="1">
      <alignment wrapText="1"/>
    </xf>
    <xf numFmtId="168" fontId="51" fillId="0" borderId="1" xfId="0" applyNumberFormat="1" applyFont="1" applyBorder="1" applyAlignment="1">
      <alignment wrapText="1"/>
    </xf>
    <xf numFmtId="168" fontId="51" fillId="0" borderId="1" xfId="0" applyNumberFormat="1" applyFont="1" applyBorder="1" applyAlignment="1">
      <alignment vertical="center"/>
    </xf>
    <xf numFmtId="166" fontId="52" fillId="0" borderId="1" xfId="0" applyNumberFormat="1" applyFont="1" applyBorder="1" applyAlignment="1">
      <alignment wrapText="1"/>
    </xf>
    <xf numFmtId="0" fontId="51" fillId="0" borderId="1" xfId="0" applyFont="1" applyBorder="1"/>
    <xf numFmtId="168" fontId="51" fillId="0" borderId="1" xfId="0" applyNumberFormat="1" applyFont="1" applyBorder="1"/>
    <xf numFmtId="0" fontId="22" fillId="0" borderId="25" xfId="0" applyFont="1" applyBorder="1"/>
    <xf numFmtId="0" fontId="28" fillId="0" borderId="31" xfId="0" applyFont="1" applyBorder="1"/>
    <xf numFmtId="0" fontId="18" fillId="0" borderId="1" xfId="0" applyFont="1" applyBorder="1"/>
    <xf numFmtId="165" fontId="18" fillId="0" borderId="1" xfId="0" applyNumberFormat="1" applyFont="1" applyBorder="1"/>
    <xf numFmtId="0" fontId="18" fillId="3" borderId="1" xfId="0" applyFont="1" applyFill="1" applyBorder="1"/>
    <xf numFmtId="165" fontId="18" fillId="3" borderId="1" xfId="0" applyNumberFormat="1" applyFont="1" applyFill="1" applyBorder="1"/>
    <xf numFmtId="9" fontId="37" fillId="2" borderId="1" xfId="0" applyNumberFormat="1" applyFont="1" applyFill="1" applyBorder="1" applyAlignment="1">
      <alignment horizontal="center"/>
    </xf>
    <xf numFmtId="9" fontId="37" fillId="2" borderId="12" xfId="0" applyNumberFormat="1" applyFont="1" applyFill="1" applyBorder="1" applyAlignment="1">
      <alignment horizontal="center"/>
    </xf>
    <xf numFmtId="0" fontId="3" fillId="0" borderId="1" xfId="0" applyFont="1" applyBorder="1"/>
    <xf numFmtId="0" fontId="53" fillId="0" borderId="31" xfId="0" applyFont="1" applyBorder="1"/>
    <xf numFmtId="3" fontId="37" fillId="2" borderId="1" xfId="0" applyNumberFormat="1" applyFont="1" applyFill="1" applyBorder="1" applyAlignment="1">
      <alignment horizontal="center"/>
    </xf>
    <xf numFmtId="0" fontId="2" fillId="0" borderId="27" xfId="0" applyFont="1" applyBorder="1"/>
    <xf numFmtId="9" fontId="2" fillId="0" borderId="1" xfId="0" applyNumberFormat="1" applyFont="1" applyBorder="1" applyAlignment="1">
      <alignment horizontal="center" vertical="center"/>
    </xf>
    <xf numFmtId="0" fontId="21" fillId="7" borderId="11" xfId="0" applyFont="1" applyFill="1" applyBorder="1" applyAlignment="1">
      <alignment horizontal="left"/>
    </xf>
    <xf numFmtId="165" fontId="22" fillId="0" borderId="1" xfId="0" applyNumberFormat="1" applyFont="1" applyBorder="1" applyAlignment="1">
      <alignment horizontal="center"/>
    </xf>
    <xf numFmtId="0" fontId="7" fillId="0" borderId="0" xfId="0" applyFont="1" applyAlignment="1">
      <alignment horizontal="center"/>
    </xf>
    <xf numFmtId="0" fontId="31" fillId="0" borderId="27" xfId="0" applyFont="1" applyBorder="1" applyAlignment="1">
      <alignment horizontal="left" vertical="top" wrapText="1"/>
    </xf>
    <xf numFmtId="0" fontId="31" fillId="0" borderId="0" xfId="0" applyFont="1" applyAlignment="1">
      <alignment horizontal="left" vertical="top" wrapText="1"/>
    </xf>
    <xf numFmtId="0" fontId="0" fillId="0" borderId="25" xfId="0" applyBorder="1" applyAlignment="1">
      <alignment horizontal="left" vertical="top" wrapText="1"/>
    </xf>
    <xf numFmtId="0" fontId="13" fillId="0" borderId="0" xfId="0" applyFont="1" applyAlignment="1">
      <alignment horizontal="center"/>
    </xf>
    <xf numFmtId="0" fontId="6" fillId="0" borderId="0" xfId="0" applyFont="1" applyAlignment="1">
      <alignment horizontal="right" vertical="center" textRotation="90" wrapText="1"/>
    </xf>
    <xf numFmtId="0" fontId="12" fillId="0" borderId="0" xfId="0" applyFont="1" applyAlignment="1">
      <alignment horizontal="right" vertical="center" textRotation="90" wrapText="1"/>
    </xf>
    <xf numFmtId="0" fontId="2" fillId="0" borderId="0" xfId="0" applyFont="1" applyAlignment="1">
      <alignment horizontal="center"/>
    </xf>
    <xf numFmtId="0" fontId="12" fillId="0" borderId="0" xfId="0" applyFont="1" applyAlignment="1">
      <alignment horizontal="center"/>
    </xf>
    <xf numFmtId="0" fontId="8" fillId="0" borderId="11" xfId="0" applyFont="1" applyBorder="1" applyAlignment="1">
      <alignment horizontal="center" vertical="center" wrapText="1"/>
    </xf>
    <xf numFmtId="0" fontId="8" fillId="0" borderId="32" xfId="0" applyFont="1" applyBorder="1" applyAlignment="1">
      <alignment horizontal="center" vertical="center" wrapText="1"/>
    </xf>
    <xf numFmtId="0" fontId="2" fillId="0" borderId="27"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6" fillId="0" borderId="0" xfId="0" applyFont="1" applyAlignment="1">
      <alignment horizontal="left" vertical="top" wrapText="1"/>
    </xf>
    <xf numFmtId="0" fontId="6" fillId="0" borderId="11" xfId="0" applyFont="1" applyBorder="1" applyAlignment="1">
      <alignment horizontal="left" vertical="top" wrapText="1"/>
    </xf>
    <xf numFmtId="0" fontId="6" fillId="0" borderId="27" xfId="0" applyFont="1" applyBorder="1" applyAlignment="1">
      <alignment horizontal="left" vertical="top"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7" fillId="0" borderId="0" xfId="0" applyFont="1" applyAlignment="1">
      <alignment horizontal="right" vertical="center" textRotation="90" wrapText="1"/>
    </xf>
    <xf numFmtId="0" fontId="21" fillId="7" borderId="37" xfId="0" applyFont="1" applyFill="1" applyBorder="1" applyAlignment="1">
      <alignment horizontal="left" vertical="center" wrapText="1"/>
    </xf>
    <xf numFmtId="0" fontId="21" fillId="7" borderId="38" xfId="0" applyFont="1" applyFill="1" applyBorder="1" applyAlignment="1">
      <alignment horizontal="left" vertical="center" wrapText="1"/>
    </xf>
    <xf numFmtId="0" fontId="21" fillId="7" borderId="39" xfId="0" applyFont="1" applyFill="1" applyBorder="1" applyAlignment="1">
      <alignment horizontal="left" vertical="center" wrapText="1"/>
    </xf>
    <xf numFmtId="0" fontId="21" fillId="7" borderId="11" xfId="0" applyFont="1" applyFill="1" applyBorder="1" applyAlignment="1">
      <alignment horizontal="left"/>
    </xf>
    <xf numFmtId="0" fontId="21" fillId="7" borderId="20" xfId="0" applyFont="1" applyFill="1" applyBorder="1" applyAlignment="1">
      <alignment horizontal="left"/>
    </xf>
    <xf numFmtId="170" fontId="37" fillId="2" borderId="1" xfId="0" applyNumberFormat="1" applyFont="1" applyFill="1" applyBorder="1" applyAlignment="1">
      <alignment horizontal="center" vertical="center"/>
    </xf>
    <xf numFmtId="2" fontId="37" fillId="2" borderId="1" xfId="0" applyNumberFormat="1" applyFont="1" applyFill="1" applyBorder="1" applyAlignment="1">
      <alignment horizontal="center" vertical="center"/>
    </xf>
    <xf numFmtId="9" fontId="37" fillId="15" borderId="42" xfId="0" applyNumberFormat="1" applyFont="1" applyFill="1" applyBorder="1" applyAlignment="1">
      <alignment horizontal="center" vertical="center"/>
    </xf>
    <xf numFmtId="9" fontId="37" fillId="8" borderId="42" xfId="0" applyNumberFormat="1" applyFont="1" applyFill="1" applyBorder="1" applyAlignment="1">
      <alignment horizontal="center" vertical="center"/>
    </xf>
    <xf numFmtId="0" fontId="37" fillId="0" borderId="1" xfId="0" applyFont="1" applyBorder="1" applyAlignment="1">
      <alignment horizontal="center" vertical="center" wrapText="1"/>
    </xf>
    <xf numFmtId="1" fontId="37" fillId="2" borderId="1" xfId="0" applyNumberFormat="1" applyFont="1" applyFill="1" applyBorder="1" applyAlignment="1">
      <alignment horizontal="center" vertical="center"/>
    </xf>
    <xf numFmtId="0" fontId="47" fillId="7" borderId="0" xfId="3" applyFont="1" applyFill="1" applyBorder="1" applyAlignment="1">
      <alignment horizontal="center" vertical="center"/>
    </xf>
    <xf numFmtId="0" fontId="37" fillId="2" borderId="0" xfId="3" applyFont="1" applyFill="1" applyBorder="1" applyAlignment="1">
      <alignment horizontal="center" vertical="center"/>
    </xf>
    <xf numFmtId="165" fontId="4" fillId="8" borderId="0" xfId="0" quotePrefix="1" applyNumberFormat="1" applyFont="1" applyFill="1" applyAlignment="1">
      <alignment horizontal="center" vertical="center"/>
    </xf>
    <xf numFmtId="0" fontId="48" fillId="6" borderId="24" xfId="0" applyFont="1" applyFill="1" applyBorder="1" applyAlignment="1">
      <alignment horizontal="center" vertical="center"/>
    </xf>
    <xf numFmtId="0" fontId="48" fillId="6" borderId="26" xfId="0" applyFont="1" applyFill="1" applyBorder="1" applyAlignment="1">
      <alignment horizontal="center" vertical="center"/>
    </xf>
    <xf numFmtId="0" fontId="29" fillId="0" borderId="42" xfId="0" applyFont="1" applyBorder="1" applyAlignment="1">
      <alignment horizontal="center" vertical="top" wrapText="1"/>
    </xf>
    <xf numFmtId="0" fontId="17" fillId="0" borderId="1" xfId="0" applyFont="1" applyBorder="1" applyAlignment="1">
      <alignment horizontal="center" vertical="center" wrapText="1"/>
    </xf>
    <xf numFmtId="0" fontId="29" fillId="0" borderId="1" xfId="0" applyFont="1" applyBorder="1" applyAlignment="1">
      <alignment horizontal="center" vertical="top" wrapText="1"/>
    </xf>
    <xf numFmtId="0" fontId="21" fillId="0" borderId="28" xfId="0" applyFont="1" applyBorder="1" applyAlignment="1">
      <alignment horizontal="left" vertical="center" wrapText="1"/>
    </xf>
    <xf numFmtId="0" fontId="21" fillId="0" borderId="10" xfId="0" applyFont="1" applyBorder="1" applyAlignment="1">
      <alignment horizontal="left" vertical="center" wrapText="1"/>
    </xf>
    <xf numFmtId="0" fontId="21" fillId="0" borderId="29" xfId="0" applyFont="1" applyBorder="1" applyAlignment="1">
      <alignment horizontal="left" vertical="center" wrapText="1"/>
    </xf>
    <xf numFmtId="0" fontId="54" fillId="0" borderId="0" xfId="0" applyFont="1" applyAlignment="1">
      <alignment horizontal="left" vertical="center"/>
    </xf>
    <xf numFmtId="168" fontId="54" fillId="7" borderId="0" xfId="0" applyNumberFormat="1" applyFont="1" applyFill="1" applyAlignment="1">
      <alignment horizontal="left"/>
    </xf>
    <xf numFmtId="168" fontId="21" fillId="7" borderId="11" xfId="0" applyNumberFormat="1" applyFont="1" applyFill="1" applyBorder="1" applyAlignment="1">
      <alignment horizontal="left"/>
    </xf>
    <xf numFmtId="0" fontId="1" fillId="7" borderId="0" xfId="0" applyFont="1" applyFill="1" applyAlignment="1">
      <alignment horizontal="left"/>
    </xf>
  </cellXfs>
  <cellStyles count="4">
    <cellStyle name="Eingabe" xfId="3" builtinId="20"/>
    <cellStyle name="Link" xfId="1" builtinId="8"/>
    <cellStyle name="Normal 3" xfId="2" xr:uid="{34AADA14-1BAB-41D8-BA4D-E646571252AA}"/>
    <cellStyle name="Standard" xfId="0" builtinId="0"/>
  </cellStyles>
  <dxfs count="11">
    <dxf>
      <font>
        <color rgb="FFC00000"/>
      </font>
    </dxf>
    <dxf>
      <font>
        <color rgb="FFC00000"/>
      </font>
    </dxf>
    <dxf>
      <font>
        <color rgb="FFC00000"/>
      </font>
    </dxf>
    <dxf>
      <font>
        <color rgb="FFC00000"/>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8B9FC2"/>
      <color rgb="FFDBA490"/>
      <color rgb="FFE7E6E6"/>
      <color rgb="FF0000FF"/>
      <color rgb="FFCDD2B4"/>
      <color rgb="FFBDD1E0"/>
      <color rgb="FFD2CDB4"/>
      <color rgb="FFCC3300"/>
      <color rgb="FFDCA591"/>
      <color rgb="FF8CA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Costs per Household</a:t>
            </a:r>
          </a:p>
        </c:rich>
      </c:tx>
      <c:layout>
        <c:manualLayout>
          <c:xMode val="edge"/>
          <c:yMode val="edge"/>
          <c:x val="0.26003112999830141"/>
          <c:y val="1.9943022627322067E-2"/>
        </c:manualLayout>
      </c:layout>
      <c:overlay val="0"/>
      <c:spPr>
        <a:noFill/>
        <a:ln>
          <a:noFill/>
        </a:ln>
        <a:effectLst/>
      </c:spPr>
      <c:txPr>
        <a:bodyPr rot="0" spcFirstLastPara="1" vertOverflow="ellipsis" vert="horz" wrap="square" anchor="ctr" anchorCtr="1"/>
        <a:lstStyle/>
        <a:p>
          <a:pPr algn="ct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solidFill>
                <a:srgbClr val="CDD2B4"/>
              </a:solidFill>
              <a:prstDash val="solid"/>
            </a:ln>
            <a:effectLst/>
          </c:spPr>
          <c:invertIfNegative val="0"/>
          <c:dPt>
            <c:idx val="0"/>
            <c:invertIfNegative val="0"/>
            <c:bubble3D val="0"/>
            <c:spPr>
              <a:solidFill>
                <a:srgbClr val="CDD2B4"/>
              </a:solidFill>
              <a:ln>
                <a:solidFill>
                  <a:srgbClr val="CDD2B4"/>
                </a:solidFill>
                <a:prstDash val="solid"/>
              </a:ln>
              <a:effectLst/>
            </c:spPr>
            <c:extLst>
              <c:ext xmlns:c16="http://schemas.microsoft.com/office/drawing/2014/chart" uri="{C3380CC4-5D6E-409C-BE32-E72D297353CC}">
                <c16:uniqueId val="{00000001-13C9-4472-8C0E-F8042224CB4F}"/>
              </c:ext>
            </c:extLst>
          </c:dPt>
          <c:dPt>
            <c:idx val="1"/>
            <c:invertIfNegative val="0"/>
            <c:bubble3D val="0"/>
            <c:spPr>
              <a:solidFill>
                <a:srgbClr val="CDD2B4"/>
              </a:solidFill>
              <a:ln>
                <a:solidFill>
                  <a:srgbClr val="CDD2B4"/>
                </a:solidFill>
                <a:prstDash val="solid"/>
              </a:ln>
              <a:effectLst/>
            </c:spPr>
            <c:extLst>
              <c:ext xmlns:c16="http://schemas.microsoft.com/office/drawing/2014/chart" uri="{C3380CC4-5D6E-409C-BE32-E72D297353CC}">
                <c16:uniqueId val="{00000003-13C9-4472-8C0E-F8042224CB4F}"/>
              </c:ext>
            </c:extLst>
          </c:dPt>
          <c:dPt>
            <c:idx val="2"/>
            <c:invertIfNegative val="0"/>
            <c:bubble3D val="0"/>
            <c:spPr>
              <a:solidFill>
                <a:srgbClr val="CDD2B4"/>
              </a:solidFill>
              <a:ln>
                <a:solidFill>
                  <a:srgbClr val="CDD2B4"/>
                </a:solidFill>
                <a:prstDash val="solid"/>
              </a:ln>
              <a:effectLst/>
            </c:spPr>
            <c:extLst>
              <c:ext xmlns:c16="http://schemas.microsoft.com/office/drawing/2014/chart" uri="{C3380CC4-5D6E-409C-BE32-E72D297353CC}">
                <c16:uniqueId val="{00000005-13C9-4472-8C0E-F8042224CB4F}"/>
              </c:ext>
            </c:extLst>
          </c:dPt>
          <c:dPt>
            <c:idx val="3"/>
            <c:invertIfNegative val="0"/>
            <c:bubble3D val="0"/>
            <c:spPr>
              <a:solidFill>
                <a:srgbClr val="DBA490"/>
              </a:solidFill>
              <a:ln>
                <a:solidFill>
                  <a:srgbClr val="DBA490"/>
                </a:solidFill>
                <a:prstDash val="solid"/>
              </a:ln>
              <a:effectLst/>
            </c:spPr>
            <c:extLst>
              <c:ext xmlns:c16="http://schemas.microsoft.com/office/drawing/2014/chart" uri="{C3380CC4-5D6E-409C-BE32-E72D297353CC}">
                <c16:uniqueId val="{00000007-8860-46AF-86E6-D16C7FE95816}"/>
              </c:ext>
            </c:extLst>
          </c:dPt>
          <c:dPt>
            <c:idx val="4"/>
            <c:invertIfNegative val="0"/>
            <c:bubble3D val="0"/>
            <c:spPr>
              <a:solidFill>
                <a:srgbClr val="DBA490"/>
              </a:solidFill>
              <a:ln>
                <a:solidFill>
                  <a:srgbClr val="DBA490"/>
                </a:solidFill>
                <a:prstDash val="solid"/>
              </a:ln>
              <a:effectLst/>
            </c:spPr>
            <c:extLst>
              <c:ext xmlns:c16="http://schemas.microsoft.com/office/drawing/2014/chart" uri="{C3380CC4-5D6E-409C-BE32-E72D297353CC}">
                <c16:uniqueId val="{00000009-8860-46AF-86E6-D16C7FE95816}"/>
              </c:ext>
            </c:extLst>
          </c:dPt>
          <c:dPt>
            <c:idx val="5"/>
            <c:invertIfNegative val="0"/>
            <c:bubble3D val="0"/>
            <c:spPr>
              <a:solidFill>
                <a:srgbClr val="DCA591"/>
              </a:solidFill>
              <a:ln>
                <a:solidFill>
                  <a:srgbClr val="DBA490"/>
                </a:solidFill>
                <a:prstDash val="solid"/>
              </a:ln>
              <a:effectLst/>
            </c:spPr>
            <c:extLst>
              <c:ext xmlns:c16="http://schemas.microsoft.com/office/drawing/2014/chart" uri="{C3380CC4-5D6E-409C-BE32-E72D297353CC}">
                <c16:uniqueId val="{0000000B-D9BD-4B4C-8F96-34AD9DEB51EB}"/>
              </c:ext>
            </c:extLst>
          </c:dPt>
          <c:dPt>
            <c:idx val="6"/>
            <c:invertIfNegative val="0"/>
            <c:bubble3D val="0"/>
            <c:spPr>
              <a:solidFill>
                <a:srgbClr val="8CA0C3"/>
              </a:solidFill>
              <a:ln>
                <a:solidFill>
                  <a:srgbClr val="8B9FC2"/>
                </a:solidFill>
                <a:prstDash val="solid"/>
              </a:ln>
              <a:effectLst/>
            </c:spPr>
            <c:extLst>
              <c:ext xmlns:c16="http://schemas.microsoft.com/office/drawing/2014/chart" uri="{C3380CC4-5D6E-409C-BE32-E72D297353CC}">
                <c16:uniqueId val="{0000000D-D9BD-4B4C-8F96-34AD9DEB51EB}"/>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Summary!$B$53:$B$59</c:f>
              <c:strCache>
                <c:ptCount val="7"/>
                <c:pt idx="0">
                  <c:v>PV per HH C19</c:v>
                </c:pt>
                <c:pt idx="1">
                  <c:v>PV per HH C20</c:v>
                </c:pt>
                <c:pt idx="2">
                  <c:v>PV per HH combined</c:v>
                </c:pt>
                <c:pt idx="3">
                  <c:v>Costs per HH C19</c:v>
                </c:pt>
                <c:pt idx="4">
                  <c:v>Costs per HH C20</c:v>
                </c:pt>
                <c:pt idx="5">
                  <c:v>Costs per HH combined</c:v>
                </c:pt>
                <c:pt idx="6">
                  <c:v>NPV per HH</c:v>
                </c:pt>
              </c:strCache>
            </c:strRef>
          </c:cat>
          <c:val>
            <c:numRef>
              <c:f>Summary!$C$53:$C$59</c:f>
              <c:numCache>
                <c:formatCode>#,##0\ "€"</c:formatCode>
                <c:ptCount val="7"/>
                <c:pt idx="0">
                  <c:v>39.210433663691276</c:v>
                </c:pt>
                <c:pt idx="1">
                  <c:v>70.929463594562591</c:v>
                </c:pt>
                <c:pt idx="2">
                  <c:v>54.265041402920204</c:v>
                </c:pt>
                <c:pt idx="3">
                  <c:v>32.619703128476495</c:v>
                </c:pt>
                <c:pt idx="4">
                  <c:v>66.445243906230345</c:v>
                </c:pt>
                <c:pt idx="5">
                  <c:v>48.938601871335983</c:v>
                </c:pt>
                <c:pt idx="6">
                  <c:v>5.3264395315842208</c:v>
                </c:pt>
              </c:numCache>
            </c:numRef>
          </c:val>
          <c:extLst>
            <c:ext xmlns:c16="http://schemas.microsoft.com/office/drawing/2014/chart" uri="{C3380CC4-5D6E-409C-BE32-E72D297353CC}">
              <c16:uniqueId val="{00000006-13C9-4472-8C0E-F8042224CB4F}"/>
            </c:ext>
          </c:extLst>
        </c:ser>
        <c:dLbls>
          <c:showLegendKey val="0"/>
          <c:showVal val="0"/>
          <c:showCatName val="0"/>
          <c:showSerName val="0"/>
          <c:showPercent val="0"/>
          <c:showBubbleSize val="0"/>
        </c:dLbls>
        <c:gapWidth val="100"/>
        <c:overlap val="-27"/>
        <c:axId val="412146792"/>
        <c:axId val="412147152"/>
      </c:barChart>
      <c:catAx>
        <c:axId val="412146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412147152"/>
        <c:crosses val="autoZero"/>
        <c:auto val="1"/>
        <c:lblAlgn val="ctr"/>
        <c:lblOffset val="100"/>
        <c:noMultiLvlLbl val="0"/>
      </c:catAx>
      <c:valAx>
        <c:axId val="412147152"/>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4121467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Share of Project Component in</a:t>
            </a:r>
          </a:p>
          <a:p>
            <a:pPr>
              <a:defRPr b="1"/>
            </a:pPr>
            <a:r>
              <a:rPr lang="en-US" b="1"/>
              <a:t>Total Present Value per Household</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barChart>
        <c:barDir val="col"/>
        <c:grouping val="stacked"/>
        <c:varyColors val="0"/>
        <c:ser>
          <c:idx val="0"/>
          <c:order val="0"/>
          <c:tx>
            <c:strRef>
              <c:f>Summary!$F$54</c:f>
              <c:strCache>
                <c:ptCount val="1"/>
                <c:pt idx="0">
                  <c:v>GAPs besides Stumping</c:v>
                </c:pt>
              </c:strCache>
            </c:strRef>
          </c:tx>
          <c:spPr>
            <a:solidFill>
              <a:srgbClr val="CDD2B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Summary!$G$53:$H$53</c:f>
              <c:strCache>
                <c:ptCount val="2"/>
                <c:pt idx="0">
                  <c:v>C19</c:v>
                </c:pt>
                <c:pt idx="1">
                  <c:v>C20</c:v>
                </c:pt>
              </c:strCache>
            </c:strRef>
          </c:cat>
          <c:val>
            <c:numRef>
              <c:f>Summary!$G$54:$H$54</c:f>
              <c:numCache>
                <c:formatCode>#,##0\ "€"</c:formatCode>
                <c:ptCount val="2"/>
                <c:pt idx="0">
                  <c:v>12.030550874162508</c:v>
                </c:pt>
                <c:pt idx="1">
                  <c:v>7.4132869523024265</c:v>
                </c:pt>
              </c:numCache>
            </c:numRef>
          </c:val>
          <c:extLst>
            <c:ext xmlns:c16="http://schemas.microsoft.com/office/drawing/2014/chart" uri="{C3380CC4-5D6E-409C-BE32-E72D297353CC}">
              <c16:uniqueId val="{00000000-4F93-4984-9807-3776BF58F56A}"/>
            </c:ext>
          </c:extLst>
        </c:ser>
        <c:ser>
          <c:idx val="1"/>
          <c:order val="1"/>
          <c:tx>
            <c:strRef>
              <c:f>Summary!$F$55</c:f>
              <c:strCache>
                <c:ptCount val="1"/>
                <c:pt idx="0">
                  <c:v>Stumping</c:v>
                </c:pt>
              </c:strCache>
            </c:strRef>
          </c:tx>
          <c:spPr>
            <a:solidFill>
              <a:srgbClr val="8CA0C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Summary!$G$53:$H$53</c:f>
              <c:strCache>
                <c:ptCount val="2"/>
                <c:pt idx="0">
                  <c:v>C19</c:v>
                </c:pt>
                <c:pt idx="1">
                  <c:v>C20</c:v>
                </c:pt>
              </c:strCache>
            </c:strRef>
          </c:cat>
          <c:val>
            <c:numRef>
              <c:f>Summary!$G$55:$H$55</c:f>
              <c:numCache>
                <c:formatCode>#,##0\ "€"</c:formatCode>
                <c:ptCount val="2"/>
                <c:pt idx="0">
                  <c:v>27.179882789528772</c:v>
                </c:pt>
                <c:pt idx="1">
                  <c:v>63.516176642260163</c:v>
                </c:pt>
              </c:numCache>
            </c:numRef>
          </c:val>
          <c:extLst>
            <c:ext xmlns:c16="http://schemas.microsoft.com/office/drawing/2014/chart" uri="{C3380CC4-5D6E-409C-BE32-E72D297353CC}">
              <c16:uniqueId val="{00000001-4F93-4984-9807-3776BF58F56A}"/>
            </c:ext>
          </c:extLst>
        </c:ser>
        <c:dLbls>
          <c:showLegendKey val="0"/>
          <c:showVal val="0"/>
          <c:showCatName val="0"/>
          <c:showSerName val="0"/>
          <c:showPercent val="0"/>
          <c:showBubbleSize val="0"/>
        </c:dLbls>
        <c:gapWidth val="150"/>
        <c:overlap val="100"/>
        <c:axId val="1164210496"/>
        <c:axId val="1164213016"/>
      </c:barChart>
      <c:catAx>
        <c:axId val="11642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1164213016"/>
        <c:crosses val="autoZero"/>
        <c:auto val="1"/>
        <c:lblAlgn val="ctr"/>
        <c:lblOffset val="100"/>
        <c:noMultiLvlLbl val="0"/>
      </c:catAx>
      <c:valAx>
        <c:axId val="1164213016"/>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1164210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 </a:t>
            </a:r>
          </a:p>
        </c:rich>
      </c:tx>
      <c:layout>
        <c:manualLayout>
          <c:xMode val="edge"/>
          <c:yMode val="edge"/>
          <c:x val="0.38266930231298235"/>
          <c:y val="2.77296338861740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794014573548E-2"/>
          <c:y val="0.12003518151674583"/>
          <c:w val="0.91259220598542645"/>
          <c:h val="0.8644874805631882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CA591"/>
              </a:solidFill>
              <a:ln>
                <a:noFill/>
              </a:ln>
              <a:effectLst/>
            </c:spPr>
            <c:extLst>
              <c:ext xmlns:c16="http://schemas.microsoft.com/office/drawing/2014/chart" uri="{C3380CC4-5D6E-409C-BE32-E72D297353CC}">
                <c16:uniqueId val="{00000001-2E71-40F4-99AD-220D2CD477D9}"/>
              </c:ext>
            </c:extLst>
          </c:dPt>
          <c:dPt>
            <c:idx val="1"/>
            <c:invertIfNegative val="0"/>
            <c:bubble3D val="0"/>
            <c:spPr>
              <a:solidFill>
                <a:srgbClr val="CDD2B4"/>
              </a:solidFill>
              <a:ln>
                <a:noFill/>
              </a:ln>
              <a:effectLst/>
            </c:spPr>
            <c:extLst>
              <c:ext xmlns:c16="http://schemas.microsoft.com/office/drawing/2014/chart" uri="{C3380CC4-5D6E-409C-BE32-E72D297353CC}">
                <c16:uniqueId val="{00000003-2E71-40F4-99AD-220D2CD477D9}"/>
              </c:ext>
            </c:extLst>
          </c:dPt>
          <c:dPt>
            <c:idx val="2"/>
            <c:invertIfNegative val="0"/>
            <c:bubble3D val="0"/>
            <c:spPr>
              <a:solidFill>
                <a:srgbClr val="8CA0C3"/>
              </a:solidFill>
              <a:ln>
                <a:noFill/>
              </a:ln>
              <a:effectLst/>
            </c:spPr>
            <c:extLst>
              <c:ext xmlns:c16="http://schemas.microsoft.com/office/drawing/2014/chart" uri="{C3380CC4-5D6E-409C-BE32-E72D297353CC}">
                <c16:uniqueId val="{00000005-2E71-40F4-99AD-220D2CD477D9}"/>
              </c:ext>
            </c:extLst>
          </c:dPt>
          <c:dPt>
            <c:idx val="3"/>
            <c:invertIfNegative val="0"/>
            <c:bubble3D val="0"/>
            <c:spPr>
              <a:solidFill>
                <a:srgbClr val="DCA591"/>
              </a:solidFill>
              <a:ln>
                <a:noFill/>
              </a:ln>
              <a:effectLst/>
            </c:spPr>
            <c:extLst>
              <c:ext xmlns:c16="http://schemas.microsoft.com/office/drawing/2014/chart" uri="{C3380CC4-5D6E-409C-BE32-E72D297353CC}">
                <c16:uniqueId val="{00000007-2E71-40F4-99AD-220D2CD477D9}"/>
              </c:ext>
            </c:extLst>
          </c:dPt>
          <c:dPt>
            <c:idx val="4"/>
            <c:invertIfNegative val="0"/>
            <c:bubble3D val="0"/>
            <c:spPr>
              <a:solidFill>
                <a:srgbClr val="CDD2B4"/>
              </a:solidFill>
              <a:ln>
                <a:noFill/>
              </a:ln>
              <a:effectLst/>
            </c:spPr>
            <c:extLst>
              <c:ext xmlns:c16="http://schemas.microsoft.com/office/drawing/2014/chart" uri="{C3380CC4-5D6E-409C-BE32-E72D297353CC}">
                <c16:uniqueId val="{00000009-2E71-40F4-99AD-220D2CD477D9}"/>
              </c:ext>
            </c:extLst>
          </c:dPt>
          <c:dPt>
            <c:idx val="5"/>
            <c:invertIfNegative val="0"/>
            <c:bubble3D val="0"/>
            <c:spPr>
              <a:solidFill>
                <a:srgbClr val="8CA0C3"/>
              </a:solidFill>
              <a:ln>
                <a:noFill/>
              </a:ln>
              <a:effectLst/>
            </c:spPr>
            <c:extLst>
              <c:ext xmlns:c16="http://schemas.microsoft.com/office/drawing/2014/chart" uri="{C3380CC4-5D6E-409C-BE32-E72D297353CC}">
                <c16:uniqueId val="{0000000B-2E71-40F4-99AD-220D2CD477D9}"/>
              </c:ext>
            </c:extLst>
          </c:dPt>
          <c:dPt>
            <c:idx val="6"/>
            <c:invertIfNegative val="0"/>
            <c:bubble3D val="0"/>
            <c:spPr>
              <a:solidFill>
                <a:srgbClr val="DCA591"/>
              </a:solidFill>
              <a:ln>
                <a:noFill/>
              </a:ln>
              <a:effectLst/>
            </c:spPr>
            <c:extLst>
              <c:ext xmlns:c16="http://schemas.microsoft.com/office/drawing/2014/chart" uri="{C3380CC4-5D6E-409C-BE32-E72D297353CC}">
                <c16:uniqueId val="{0000000D-2E71-40F4-99AD-220D2CD477D9}"/>
              </c:ext>
            </c:extLst>
          </c:dPt>
          <c:dPt>
            <c:idx val="7"/>
            <c:invertIfNegative val="0"/>
            <c:bubble3D val="0"/>
            <c:spPr>
              <a:solidFill>
                <a:srgbClr val="CDD2B4"/>
              </a:solidFill>
              <a:ln>
                <a:noFill/>
              </a:ln>
              <a:effectLst/>
            </c:spPr>
            <c:extLst>
              <c:ext xmlns:c16="http://schemas.microsoft.com/office/drawing/2014/chart" uri="{C3380CC4-5D6E-409C-BE32-E72D297353CC}">
                <c16:uniqueId val="{0000000F-2E71-40F4-99AD-220D2CD477D9}"/>
              </c:ext>
            </c:extLst>
          </c:dPt>
          <c:dPt>
            <c:idx val="8"/>
            <c:invertIfNegative val="0"/>
            <c:bubble3D val="0"/>
            <c:spPr>
              <a:solidFill>
                <a:srgbClr val="8CA0C3"/>
              </a:solidFill>
              <a:ln>
                <a:noFill/>
              </a:ln>
              <a:effectLst/>
            </c:spPr>
            <c:extLst>
              <c:ext xmlns:c16="http://schemas.microsoft.com/office/drawing/2014/chart" uri="{C3380CC4-5D6E-409C-BE32-E72D297353CC}">
                <c16:uniqueId val="{00000011-2E71-40F4-99AD-220D2CD477D9}"/>
              </c:ext>
            </c:extLst>
          </c:dPt>
          <c:dLbls>
            <c:dLbl>
              <c:idx val="5"/>
              <c:layout>
                <c:manualLayout>
                  <c:x val="1.0797969981642659E-3"/>
                  <c:y val="5.359663468725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E71-40F4-99AD-220D2CD477D9}"/>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Summary!$B$72:$C$80</c:f>
              <c:multiLvlStrCache>
                <c:ptCount val="9"/>
                <c:lvl>
                  <c:pt idx="0">
                    <c:v>Project Costs discounted (in 2021 EUR)</c:v>
                  </c:pt>
                  <c:pt idx="1">
                    <c:v>Present Value (in 2021 EUR)</c:v>
                  </c:pt>
                  <c:pt idx="2">
                    <c:v>Net Present Value (in 2021 EUR)</c:v>
                  </c:pt>
                  <c:pt idx="3">
                    <c:v>Project Costs discounted (in 2021 EUR)</c:v>
                  </c:pt>
                  <c:pt idx="4">
                    <c:v>Present Value (in 2021 EUR)</c:v>
                  </c:pt>
                  <c:pt idx="5">
                    <c:v>Net Present Value (in 2021 EUR)</c:v>
                  </c:pt>
                  <c:pt idx="6">
                    <c:v>Project Costs discounted (in 2021 EUR)</c:v>
                  </c:pt>
                  <c:pt idx="7">
                    <c:v>Present Value (in 2021 EUR)</c:v>
                  </c:pt>
                  <c:pt idx="8">
                    <c:v>Net Present Value (in 2021 EUR)</c:v>
                  </c:pt>
                </c:lvl>
                <c:lvl>
                  <c:pt idx="0">
                    <c:v>C2019</c:v>
                  </c:pt>
                  <c:pt idx="3">
                    <c:v>C2020</c:v>
                  </c:pt>
                  <c:pt idx="6">
                    <c:v>Total</c:v>
                  </c:pt>
                </c:lvl>
              </c:multiLvlStrCache>
            </c:multiLvlStrRef>
          </c:cat>
          <c:val>
            <c:numRef>
              <c:f>Summary!$D$72:$D$80</c:f>
              <c:numCache>
                <c:formatCode>#,##0\ "€"</c:formatCode>
                <c:ptCount val="9"/>
                <c:pt idx="0">
                  <c:v>806293.82192968193</c:v>
                </c:pt>
                <c:pt idx="1">
                  <c:v>873490.83072605054</c:v>
                </c:pt>
                <c:pt idx="2">
                  <c:v>67197.008796368609</c:v>
                </c:pt>
                <c:pt idx="3">
                  <c:v>1530964.8648434535</c:v>
                </c:pt>
                <c:pt idx="4">
                  <c:v>1427455.4548405721</c:v>
                </c:pt>
                <c:pt idx="5">
                  <c:v>-103509.41000288143</c:v>
                </c:pt>
                <c:pt idx="6">
                  <c:v>2337258.6867731353</c:v>
                </c:pt>
                <c:pt idx="7">
                  <c:v>2300946.2855666224</c:v>
                </c:pt>
                <c:pt idx="8">
                  <c:v>-36312.401206512935</c:v>
                </c:pt>
              </c:numCache>
            </c:numRef>
          </c:val>
          <c:extLst>
            <c:ext xmlns:c16="http://schemas.microsoft.com/office/drawing/2014/chart" uri="{C3380CC4-5D6E-409C-BE32-E72D297353CC}">
              <c16:uniqueId val="{00000012-2E71-40F4-99AD-220D2CD477D9}"/>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a:solidFill>
                  <a:sysClr val="windowText" lastClr="000000"/>
                </a:solidFill>
                <a:latin typeface="Pero" panose="020F0506020203030304" pitchFamily="34" charset="0"/>
              </a:rPr>
              <a:t>SROI under different discount rates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'Sensitivity analysis'!$C$15</c:f>
              <c:strCache>
                <c:ptCount val="1"/>
                <c:pt idx="0">
                  <c:v>SROI</c:v>
                </c:pt>
              </c:strCache>
            </c:strRef>
          </c:tx>
          <c:spPr>
            <a:solidFill>
              <a:srgbClr val="BDD1E0"/>
            </a:solidFill>
            <a:ln>
              <a:noFill/>
            </a:ln>
            <a:effectLst/>
          </c:spPr>
          <c:invertIfNegative val="0"/>
          <c:dPt>
            <c:idx val="2"/>
            <c:invertIfNegative val="0"/>
            <c:bubble3D val="0"/>
            <c:spPr>
              <a:solidFill>
                <a:srgbClr val="8B9FC2"/>
              </a:solidFill>
              <a:ln>
                <a:noFill/>
              </a:ln>
              <a:effectLst/>
            </c:spPr>
            <c:extLst>
              <c:ext xmlns:c16="http://schemas.microsoft.com/office/drawing/2014/chart" uri="{C3380CC4-5D6E-409C-BE32-E72D297353CC}">
                <c16:uniqueId val="{00000002-D462-40DC-B08E-5058BE60F9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analysis'!$B$16:$B$19</c:f>
              <c:numCache>
                <c:formatCode>General</c:formatCode>
                <c:ptCount val="4"/>
                <c:pt idx="0">
                  <c:v>0</c:v>
                </c:pt>
                <c:pt idx="1">
                  <c:v>0.05</c:v>
                </c:pt>
                <c:pt idx="2">
                  <c:v>0.1</c:v>
                </c:pt>
                <c:pt idx="3">
                  <c:v>0.15</c:v>
                </c:pt>
              </c:numCache>
            </c:numRef>
          </c:cat>
          <c:val>
            <c:numRef>
              <c:f>'Sensitivity analysis'!$C$16:$C$19</c:f>
              <c:numCache>
                <c:formatCode>0.0</c:formatCode>
                <c:ptCount val="4"/>
                <c:pt idx="0">
                  <c:v>1.6</c:v>
                </c:pt>
                <c:pt idx="1">
                  <c:v>1.2</c:v>
                </c:pt>
                <c:pt idx="2">
                  <c:v>1</c:v>
                </c:pt>
                <c:pt idx="3">
                  <c:v>0.8</c:v>
                </c:pt>
              </c:numCache>
            </c:numRef>
          </c:val>
          <c:extLst>
            <c:ext xmlns:c16="http://schemas.microsoft.com/office/drawing/2014/chart" uri="{C3380CC4-5D6E-409C-BE32-E72D297353CC}">
              <c16:uniqueId val="{00000000-D462-40DC-B08E-5058BE60F9C0}"/>
            </c:ext>
          </c:extLst>
        </c:ser>
        <c:dLbls>
          <c:dLblPos val="outEnd"/>
          <c:showLegendKey val="0"/>
          <c:showVal val="1"/>
          <c:showCatName val="0"/>
          <c:showSerName val="0"/>
          <c:showPercent val="0"/>
          <c:showBubbleSize val="0"/>
        </c:dLbls>
        <c:gapWidth val="182"/>
        <c:axId val="1512825952"/>
        <c:axId val="1512826672"/>
      </c:barChart>
      <c:catAx>
        <c:axId val="15128259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Discount</a:t>
                </a:r>
                <a:r>
                  <a:rPr lang="en-US" baseline="0">
                    <a:solidFill>
                      <a:sysClr val="windowText" lastClr="000000"/>
                    </a:solidFill>
                    <a:latin typeface="Pero" panose="020F0506020203030304" pitchFamily="34" charset="0"/>
                  </a:rPr>
                  <a:t> rate</a:t>
                </a:r>
                <a:endParaRPr lang="en-US">
                  <a:solidFill>
                    <a:sysClr val="windowText" lastClr="000000"/>
                  </a:solidFill>
                  <a:latin typeface="Pero" panose="020F05060202030303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1512826672"/>
        <c:crosses val="autoZero"/>
        <c:auto val="1"/>
        <c:lblAlgn val="ctr"/>
        <c:lblOffset val="100"/>
        <c:noMultiLvlLbl val="0"/>
      </c:catAx>
      <c:valAx>
        <c:axId val="1512826672"/>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a:solidFill>
                      <a:sysClr val="windowText" lastClr="000000"/>
                    </a:solidFill>
                    <a:latin typeface="Pero" panose="020F0506020203030304" pitchFamily="34" charset="0"/>
                  </a:rPr>
                  <a:t>SROI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crossAx val="15128259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100">
                <a:solidFill>
                  <a:sysClr val="windowText" lastClr="000000"/>
                </a:solidFill>
                <a:latin typeface="Pero" panose="020F0506020203030304" pitchFamily="34" charset="0"/>
              </a:rPr>
              <a:t>SROI with different non-implementation cost shares deducted from total grant amount</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v>SROI</c:v>
          </c:tx>
          <c:spPr>
            <a:solidFill>
              <a:srgbClr val="4472C4"/>
            </a:solidFill>
            <a:ln>
              <a:noFill/>
            </a:ln>
            <a:effectLst/>
          </c:spPr>
          <c:invertIfNegative val="0"/>
          <c:dPt>
            <c:idx val="0"/>
            <c:invertIfNegative val="0"/>
            <c:bubble3D val="0"/>
            <c:spPr>
              <a:solidFill>
                <a:srgbClr val="8CA0C3"/>
              </a:solidFill>
              <a:ln>
                <a:noFill/>
              </a:ln>
              <a:effectLst/>
            </c:spPr>
            <c:extLst>
              <c:ext xmlns:c16="http://schemas.microsoft.com/office/drawing/2014/chart" uri="{C3380CC4-5D6E-409C-BE32-E72D297353CC}">
                <c16:uniqueId val="{00000004-08C8-43D7-828F-59CDF6EBC634}"/>
              </c:ext>
            </c:extLst>
          </c:dPt>
          <c:dPt>
            <c:idx val="1"/>
            <c:invertIfNegative val="0"/>
            <c:bubble3D val="0"/>
            <c:spPr>
              <a:solidFill>
                <a:srgbClr val="BDD1E0"/>
              </a:solidFill>
              <a:ln>
                <a:noFill/>
              </a:ln>
              <a:effectLst/>
            </c:spPr>
            <c:extLst>
              <c:ext xmlns:c16="http://schemas.microsoft.com/office/drawing/2014/chart" uri="{C3380CC4-5D6E-409C-BE32-E72D297353CC}">
                <c16:uniqueId val="{00000003-08C8-43D7-828F-59CDF6EBC634}"/>
              </c:ext>
            </c:extLst>
          </c:dPt>
          <c:dPt>
            <c:idx val="2"/>
            <c:invertIfNegative val="0"/>
            <c:bubble3D val="0"/>
            <c:spPr>
              <a:solidFill>
                <a:srgbClr val="BDD1E0"/>
              </a:solidFill>
              <a:ln>
                <a:noFill/>
              </a:ln>
              <a:effectLst/>
            </c:spPr>
            <c:extLst>
              <c:ext xmlns:c16="http://schemas.microsoft.com/office/drawing/2014/chart" uri="{C3380CC4-5D6E-409C-BE32-E72D297353CC}">
                <c16:uniqueId val="{00000002-08C8-43D7-828F-59CDF6EBC634}"/>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analysis'!$E$16:$E$18</c:f>
              <c:numCache>
                <c:formatCode>0%</c:formatCode>
                <c:ptCount val="3"/>
                <c:pt idx="0">
                  <c:v>0</c:v>
                </c:pt>
                <c:pt idx="1">
                  <c:v>0.1</c:v>
                </c:pt>
                <c:pt idx="2">
                  <c:v>0.17</c:v>
                </c:pt>
              </c:numCache>
            </c:numRef>
          </c:cat>
          <c:val>
            <c:numRef>
              <c:f>'Sensitivity analysis'!$L$16:$L$18</c:f>
              <c:numCache>
                <c:formatCode>General</c:formatCode>
                <c:ptCount val="3"/>
                <c:pt idx="0">
                  <c:v>0.98</c:v>
                </c:pt>
                <c:pt idx="1">
                  <c:v>1.0900000000000001</c:v>
                </c:pt>
                <c:pt idx="2">
                  <c:v>1.18</c:v>
                </c:pt>
              </c:numCache>
            </c:numRef>
          </c:val>
          <c:extLst>
            <c:ext xmlns:c16="http://schemas.microsoft.com/office/drawing/2014/chart" uri="{C3380CC4-5D6E-409C-BE32-E72D297353CC}">
              <c16:uniqueId val="{00000001-08C8-43D7-828F-59CDF6EBC634}"/>
            </c:ext>
          </c:extLst>
        </c:ser>
        <c:dLbls>
          <c:dLblPos val="outEnd"/>
          <c:showLegendKey val="0"/>
          <c:showVal val="1"/>
          <c:showCatName val="0"/>
          <c:showSerName val="0"/>
          <c:showPercent val="0"/>
          <c:showBubbleSize val="0"/>
        </c:dLbls>
        <c:gapWidth val="182"/>
        <c:axId val="454626488"/>
        <c:axId val="454627568"/>
      </c:barChart>
      <c:catAx>
        <c:axId val="45462648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Non-implementation cost share</a:t>
                </a:r>
              </a:p>
            </c:rich>
          </c:tx>
          <c:layout>
            <c:manualLayout>
              <c:xMode val="edge"/>
              <c:yMode val="edge"/>
              <c:x val="3.0466694363661544E-2"/>
              <c:y val="0.2821714686082316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4627568"/>
        <c:crosses val="autoZero"/>
        <c:auto val="1"/>
        <c:lblAlgn val="ctr"/>
        <c:lblOffset val="100"/>
        <c:noMultiLvlLbl val="0"/>
      </c:catAx>
      <c:valAx>
        <c:axId val="454627568"/>
        <c:scaling>
          <c:orientation val="minMax"/>
          <c:max val="1.3"/>
          <c:min val="0.9"/>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SROI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crossAx val="454626488"/>
        <c:crosses val="autoZero"/>
        <c:crossBetween val="between"/>
      </c:valAx>
      <c:spPr>
        <a:solidFill>
          <a:srgbClr val="FFFFFF"/>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220345</xdr:colOff>
      <xdr:row>50</xdr:row>
      <xdr:rowOff>98509</xdr:rowOff>
    </xdr:from>
    <xdr:to>
      <xdr:col>4</xdr:col>
      <xdr:colOff>79375</xdr:colOff>
      <xdr:row>67</xdr:row>
      <xdr:rowOff>183812</xdr:rowOff>
    </xdr:to>
    <xdr:graphicFrame macro="">
      <xdr:nvGraphicFramePr>
        <xdr:cNvPr id="50" name="Chart 3">
          <a:extLst>
            <a:ext uri="{FF2B5EF4-FFF2-40B4-BE49-F238E27FC236}">
              <a16:creationId xmlns:a16="http://schemas.microsoft.com/office/drawing/2014/main" id="{40512566-B64A-4D08-B4CE-10FBDE921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454778</xdr:colOff>
      <xdr:row>50</xdr:row>
      <xdr:rowOff>101048</xdr:rowOff>
    </xdr:from>
    <xdr:to>
      <xdr:col>7</xdr:col>
      <xdr:colOff>1730825</xdr:colOff>
      <xdr:row>67</xdr:row>
      <xdr:rowOff>172906</xdr:rowOff>
    </xdr:to>
    <xdr:graphicFrame macro="">
      <xdr:nvGraphicFramePr>
        <xdr:cNvPr id="78" name="Chart 4">
          <a:extLst>
            <a:ext uri="{FF2B5EF4-FFF2-40B4-BE49-F238E27FC236}">
              <a16:creationId xmlns:a16="http://schemas.microsoft.com/office/drawing/2014/main" id="{8619B4B5-EBE7-4F05-99EA-490991C66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295273</xdr:colOff>
      <xdr:row>68</xdr:row>
      <xdr:rowOff>169183</xdr:rowOff>
    </xdr:from>
    <xdr:to>
      <xdr:col>7</xdr:col>
      <xdr:colOff>1199443</xdr:colOff>
      <xdr:row>91</xdr:row>
      <xdr:rowOff>53630</xdr:rowOff>
    </xdr:to>
    <xdr:graphicFrame macro="">
      <xdr:nvGraphicFramePr>
        <xdr:cNvPr id="10" name="Chart 5">
          <a:extLst>
            <a:ext uri="{FF2B5EF4-FFF2-40B4-BE49-F238E27FC236}">
              <a16:creationId xmlns:a16="http://schemas.microsoft.com/office/drawing/2014/main" id="{B1962F81-97AE-4843-AF9A-0E213EAFA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95853</xdr:colOff>
      <xdr:row>4</xdr:row>
      <xdr:rowOff>59036</xdr:rowOff>
    </xdr:from>
    <xdr:to>
      <xdr:col>7</xdr:col>
      <xdr:colOff>1945317</xdr:colOff>
      <xdr:row>16</xdr:row>
      <xdr:rowOff>819150</xdr:rowOff>
    </xdr:to>
    <xdr:sp macro="" textlink="">
      <xdr:nvSpPr>
        <xdr:cNvPr id="37" name="TextBox 2">
          <a:extLst>
            <a:ext uri="{FF2B5EF4-FFF2-40B4-BE49-F238E27FC236}">
              <a16:creationId xmlns:a16="http://schemas.microsoft.com/office/drawing/2014/main" id="{C76E1896-9A37-498A-85B4-46A3FE903668}"/>
            </a:ext>
          </a:extLst>
        </xdr:cNvPr>
        <xdr:cNvSpPr txBox="1"/>
      </xdr:nvSpPr>
      <xdr:spPr>
        <a:xfrm>
          <a:off x="7087203" y="1059161"/>
          <a:ext cx="5554689" cy="3074689"/>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b="1" i="0" u="none" strike="noStrike" baseline="0">
              <a:solidFill>
                <a:schemeClr val="dk1"/>
              </a:solidFill>
              <a:latin typeface="Pero" panose="020F0506020203030304" pitchFamily="34" charset="0"/>
              <a:ea typeface="+mn-ea"/>
              <a:cs typeface="+mn-cs"/>
            </a:rPr>
            <a:t>HWG Summary/Interpretation: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Pero" panose="020F0506020203030304" pitchFamily="34" charset="0"/>
              <a:ea typeface="+mn-ea"/>
              <a:cs typeface="+mn-cs"/>
            </a:rPr>
            <a:t>The model </a:t>
          </a:r>
          <a:r>
            <a:rPr lang="en-US" sz="1000" b="1">
              <a:solidFill>
                <a:schemeClr val="dk1"/>
              </a:solidFill>
              <a:effectLst/>
              <a:latin typeface="Pero" panose="020F0506020203030304" pitchFamily="34" charset="0"/>
              <a:ea typeface="+mn-ea"/>
              <a:cs typeface="+mn-cs"/>
            </a:rPr>
            <a:t>compares the estimated total benefits of </a:t>
          </a:r>
          <a:r>
            <a:rPr lang="en-US" sz="1000" b="1" baseline="0">
              <a:solidFill>
                <a:schemeClr val="dk1"/>
              </a:solidFill>
              <a:effectLst/>
              <a:latin typeface="Pero" panose="020F0506020203030304" pitchFamily="34" charset="0"/>
              <a:ea typeface="+mn-ea"/>
              <a:cs typeface="+mn-cs"/>
            </a:rPr>
            <a:t>2.3M</a:t>
          </a:r>
          <a:r>
            <a:rPr lang="en-US" sz="1000" b="1">
              <a:solidFill>
                <a:schemeClr val="dk1"/>
              </a:solidFill>
              <a:effectLst/>
              <a:latin typeface="Pero" panose="020F0506020203030304" pitchFamily="34" charset="0"/>
              <a:ea typeface="+mn-ea"/>
              <a:cs typeface="+mn-cs"/>
            </a:rPr>
            <a:t> EUR with the implementation costs of 2.3M</a:t>
          </a:r>
          <a:r>
            <a:rPr lang="en-US" sz="1000" b="1" baseline="0">
              <a:solidFill>
                <a:schemeClr val="dk1"/>
              </a:solidFill>
              <a:effectLst/>
              <a:latin typeface="Pero" panose="020F0506020203030304" pitchFamily="34" charset="0"/>
              <a:ea typeface="+mn-ea"/>
              <a:cs typeface="+mn-cs"/>
            </a:rPr>
            <a:t> EUR </a:t>
          </a:r>
          <a:r>
            <a:rPr lang="en-US" sz="1000">
              <a:solidFill>
                <a:schemeClr val="dk1"/>
              </a:solidFill>
              <a:effectLst/>
              <a:latin typeface="Pero" panose="020F0506020203030304" pitchFamily="34" charset="0"/>
              <a:ea typeface="+mn-ea"/>
              <a:cs typeface="+mn-cs"/>
            </a:rPr>
            <a:t>(</a:t>
          </a:r>
          <a:r>
            <a:rPr lang="en-US" sz="1000" b="0" i="0" baseline="0">
              <a:solidFill>
                <a:schemeClr val="dk1"/>
              </a:solidFill>
              <a:effectLst/>
              <a:latin typeface="Pero" panose="020F0506020203030304" pitchFamily="34" charset="0"/>
              <a:ea typeface="+mn-ea"/>
              <a:cs typeface="+mn-cs"/>
            </a:rPr>
            <a:t>values are discounted and deflated to real 2021 EUR</a:t>
          </a:r>
          <a:r>
            <a:rPr lang="en-US" sz="1000">
              <a:solidFill>
                <a:schemeClr val="dk1"/>
              </a:solidFill>
              <a:effectLst/>
              <a:latin typeface="Pero" panose="020F0506020203030304" pitchFamily="34" charset="0"/>
              <a:ea typeface="+mn-ea"/>
              <a:cs typeface="+mn-cs"/>
            </a:rPr>
            <a:t>). </a:t>
          </a:r>
          <a:endParaRPr lang="en-US" sz="1000" b="0" i="0" u="none" strike="noStrike" baseline="0">
            <a:solidFill>
              <a:schemeClr val="dk1"/>
            </a:solidFill>
            <a:latin typeface="Pero" panose="020F0506020203030304" pitchFamily="34" charset="0"/>
            <a:ea typeface="+mn-ea"/>
            <a:cs typeface="+mn-cs"/>
          </a:endParaRP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The total prject </a:t>
          </a:r>
          <a:r>
            <a:rPr lang="en-US" sz="1000" b="1" i="0" u="none" strike="noStrike" baseline="0">
              <a:solidFill>
                <a:schemeClr val="dk1"/>
              </a:solidFill>
              <a:latin typeface="Pero" panose="020F0506020203030304" pitchFamily="34" charset="0"/>
              <a:ea typeface="+mn-ea"/>
              <a:cs typeface="+mn-cs"/>
            </a:rPr>
            <a:t>SROI of 1.0 </a:t>
          </a:r>
          <a:r>
            <a:rPr lang="en-US" sz="1000" b="0" i="0" u="none" strike="noStrike" baseline="0">
              <a:solidFill>
                <a:schemeClr val="dk1"/>
              </a:solidFill>
              <a:latin typeface="Pero" panose="020F0506020203030304" pitchFamily="34" charset="0"/>
              <a:ea typeface="+mn-ea"/>
              <a:cs typeface="+mn-cs"/>
            </a:rPr>
            <a:t>indicates that under base assumptions, program benefits equal project costs. Looking at the implementation cohorts separately, the </a:t>
          </a:r>
          <a:r>
            <a:rPr lang="en-US" sz="1000" b="1" i="0" u="none" strike="noStrike" baseline="0">
              <a:solidFill>
                <a:schemeClr val="dk1"/>
              </a:solidFill>
              <a:latin typeface="Pero" panose="020F0506020203030304" pitchFamily="34" charset="0"/>
              <a:ea typeface="+mn-ea"/>
              <a:cs typeface="+mn-cs"/>
            </a:rPr>
            <a:t>SROI for the 2019-cohort is 1.1 </a:t>
          </a:r>
          <a:r>
            <a:rPr lang="en-US" sz="1000" b="0" i="0" u="none" strike="noStrike" baseline="0">
              <a:solidFill>
                <a:schemeClr val="dk1"/>
              </a:solidFill>
              <a:latin typeface="Pero" panose="020F0506020203030304" pitchFamily="34" charset="0"/>
              <a:ea typeface="+mn-ea"/>
              <a:cs typeface="+mn-cs"/>
            </a:rPr>
            <a:t>and for the </a:t>
          </a:r>
          <a:r>
            <a:rPr lang="en-US" sz="1000" b="1" i="0" u="none" strike="noStrike" baseline="0">
              <a:solidFill>
                <a:schemeClr val="dk1"/>
              </a:solidFill>
              <a:latin typeface="Pero" panose="020F0506020203030304" pitchFamily="34" charset="0"/>
              <a:ea typeface="+mn-ea"/>
              <a:cs typeface="+mn-cs"/>
            </a:rPr>
            <a:t>2020-cohort it is 0.9</a:t>
          </a:r>
          <a:r>
            <a:rPr lang="en-US" sz="1000" b="0" i="0" u="none" strike="noStrike" baseline="0">
              <a:solidFill>
                <a:schemeClr val="dk1"/>
              </a:solidFill>
              <a:latin typeface="Pero" panose="020F0506020203030304" pitchFamily="34" charset="0"/>
              <a:ea typeface="+mn-ea"/>
              <a:cs typeface="+mn-cs"/>
            </a:rPr>
            <a:t>. The higher number of trees stumped (possibly due to stumping incentives distributed in C2020) does not offset the negative effect of lower tree productivity and higher project costs in C2020 households.</a:t>
          </a: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Low uptake and intensity of stumping and small changes in overall farm management limit the program's potential to meaningfully increase coffee net profits for participating households.</a:t>
          </a: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Results from </a:t>
          </a:r>
          <a:r>
            <a:rPr lang="en-US" sz="1000" b="1" i="0" u="none" strike="noStrike" baseline="0">
              <a:solidFill>
                <a:schemeClr val="dk1"/>
              </a:solidFill>
              <a:latin typeface="Pero" panose="020F0506020203030304" pitchFamily="34" charset="0"/>
              <a:ea typeface="+mn-ea"/>
              <a:cs typeface="+mn-cs"/>
            </a:rPr>
            <a:t>sensitivity analysis </a:t>
          </a:r>
          <a:r>
            <a:rPr lang="en-US" sz="1000" b="0" i="0" u="none" strike="noStrike" baseline="0">
              <a:solidFill>
                <a:schemeClr val="dk1"/>
              </a:solidFill>
              <a:latin typeface="Pero" panose="020F0506020203030304" pitchFamily="34" charset="0"/>
              <a:ea typeface="+mn-ea"/>
              <a:cs typeface="+mn-cs"/>
            </a:rPr>
            <a:t>suggest that in order to improve cost-effectiveness the program has to further increase the adoption rate and intensity of stumping.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u="none" strike="noStrike" baseline="0">
              <a:solidFill>
                <a:schemeClr val="dk1"/>
              </a:solidFill>
              <a:latin typeface="Pero" panose="020F0506020203030304" pitchFamily="34" charset="0"/>
              <a:ea typeface="+mn-ea"/>
              <a:cs typeface="+mn-cs"/>
            </a:rPr>
            <a:t>The SROI quickly drops below 1 (break-even point) when more conserative assumptions are used. Thus, we conclude that the program should not be replicated under the same conditions. The returns to future programming may be increased through </a:t>
          </a:r>
          <a:r>
            <a:rPr lang="en-US" sz="1000" b="1" i="0" u="none" strike="noStrike" baseline="0">
              <a:solidFill>
                <a:schemeClr val="dk1"/>
              </a:solidFill>
              <a:latin typeface="Pero" panose="020F0506020203030304" pitchFamily="34" charset="0"/>
              <a:ea typeface="+mn-ea"/>
              <a:cs typeface="+mn-cs"/>
            </a:rPr>
            <a:t>deliberate targeting of larger coffee farms </a:t>
          </a:r>
          <a:r>
            <a:rPr lang="en-US" sz="1000" b="0" i="0" u="none" strike="noStrike" baseline="0">
              <a:solidFill>
                <a:schemeClr val="dk1"/>
              </a:solidFill>
              <a:latin typeface="Pero" panose="020F0506020203030304" pitchFamily="34" charset="0"/>
              <a:ea typeface="+mn-ea"/>
              <a:cs typeface="+mn-cs"/>
            </a:rPr>
            <a:t>(as farm households with larger coffee area and number of coffee trees are more likely to adopt stumping and stump relatively larger number of coffee trees), adding additional components that can increase the adoption rate and intensity of stumping by addressing other binding constreaints to best practice (BP) adoption. </a:t>
          </a:r>
        </a:p>
      </xdr:txBody>
    </xdr:sp>
    <xdr:clientData/>
  </xdr:twoCellAnchor>
  <xdr:twoCellAnchor>
    <xdr:from>
      <xdr:col>3</xdr:col>
      <xdr:colOff>174785</xdr:colOff>
      <xdr:row>18</xdr:row>
      <xdr:rowOff>76541</xdr:rowOff>
    </xdr:from>
    <xdr:to>
      <xdr:col>7</xdr:col>
      <xdr:colOff>1991350</xdr:colOff>
      <xdr:row>28</xdr:row>
      <xdr:rowOff>0</xdr:rowOff>
    </xdr:to>
    <xdr:sp macro="" textlink="">
      <xdr:nvSpPr>
        <xdr:cNvPr id="2" name="TextBox 2">
          <a:extLst>
            <a:ext uri="{FF2B5EF4-FFF2-40B4-BE49-F238E27FC236}">
              <a16:creationId xmlns:a16="http://schemas.microsoft.com/office/drawing/2014/main" id="{01CF959E-E2F7-4B78-9FE1-AE13FFA0065E}"/>
            </a:ext>
          </a:extLst>
        </xdr:cNvPr>
        <xdr:cNvSpPr txBox="1"/>
      </xdr:nvSpPr>
      <xdr:spPr>
        <a:xfrm>
          <a:off x="6484145" y="4526621"/>
          <a:ext cx="6190445" cy="184369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b="1" i="0" u="none" strike="noStrike" baseline="0">
              <a:solidFill>
                <a:schemeClr val="dk1"/>
              </a:solidFill>
              <a:latin typeface="Pero" panose="020F0506020203030304" pitchFamily="34" charset="0"/>
              <a:ea typeface="+mn-ea"/>
              <a:cs typeface="+mn-cs"/>
            </a:rPr>
            <a:t>*Level of certainty:  Low</a:t>
          </a:r>
          <a:endParaRPr lang="en-US" sz="1000" b="0" i="0" u="none" strike="noStrike" baseline="0">
            <a:solidFill>
              <a:schemeClr val="dk1"/>
            </a:solidFill>
            <a:latin typeface="Pero" panose="020F0506020203030304" pitchFamily="34" charset="0"/>
            <a:ea typeface="+mn-ea"/>
            <a:cs typeface="+mn-cs"/>
          </a:endParaRPr>
        </a:p>
        <a:p>
          <a:r>
            <a:rPr lang="en-US" sz="1000" b="1" i="0" u="none" strike="noStrike" baseline="0">
              <a:solidFill>
                <a:schemeClr val="dk1"/>
              </a:solidFill>
              <a:latin typeface="Pero" panose="020F0506020203030304" pitchFamily="34" charset="0"/>
              <a:ea typeface="+mn-ea"/>
              <a:cs typeface="+mn-cs"/>
            </a:rPr>
            <a:t>Medium data quality: </a:t>
          </a:r>
          <a:r>
            <a:rPr lang="en-US" sz="1000" b="0" i="0" u="none" strike="noStrike" baseline="0">
              <a:solidFill>
                <a:schemeClr val="dk1"/>
              </a:solidFill>
              <a:latin typeface="Pero" panose="020F0506020203030304" pitchFamily="34" charset="0"/>
              <a:ea typeface="+mn-ea"/>
              <a:cs typeface="+mn-cs"/>
            </a:rPr>
            <a:t>Additional net profit from coffee is modelled based on changes in the adoption of agricultural best practices. Count of number of stumped trees, farmer-reported adoption of other practices with in-field verification; adoption metrics are not always well-defined and data on adoption intensity is not collected.</a:t>
          </a:r>
        </a:p>
        <a:p>
          <a:r>
            <a:rPr lang="en-US" sz="1000" b="1" i="0" u="none" strike="noStrike" baseline="0">
              <a:solidFill>
                <a:schemeClr val="dk1"/>
              </a:solidFill>
              <a:latin typeface="Pero" panose="020F0506020203030304" pitchFamily="34" charset="0"/>
              <a:ea typeface="+mn-ea"/>
              <a:cs typeface="+mn-cs"/>
            </a:rPr>
            <a:t>Low precision: </a:t>
          </a:r>
          <a:r>
            <a:rPr lang="en-US" sz="1000" b="0" i="0" u="none" strike="noStrike" baseline="0">
              <a:solidFill>
                <a:schemeClr val="dk1"/>
              </a:solidFill>
              <a:latin typeface="Pero" panose="020F0506020203030304" pitchFamily="34" charset="0"/>
              <a:ea typeface="+mn-ea"/>
              <a:cs typeface="+mn-cs"/>
            </a:rPr>
            <a:t>Confidence interval (CI) width &gt; 60% of point estimate of the effect of attending at least 50% of the key training topics on the adoption of four or more practices.</a:t>
          </a:r>
        </a:p>
        <a:p>
          <a:r>
            <a:rPr lang="en-US" sz="1000" b="1" i="0" u="none" strike="noStrike" baseline="0">
              <a:solidFill>
                <a:schemeClr val="dk1"/>
              </a:solidFill>
              <a:latin typeface="Pero" panose="020F0506020203030304" pitchFamily="34" charset="0"/>
              <a:ea typeface="+mn-ea"/>
              <a:cs typeface="+mn-cs"/>
            </a:rPr>
            <a:t>Uncertain assumptions: </a:t>
          </a:r>
          <a:r>
            <a:rPr lang="en-US" sz="1000" b="0" i="0" u="none" strike="noStrike" baseline="0">
              <a:solidFill>
                <a:schemeClr val="dk1"/>
              </a:solidFill>
              <a:latin typeface="Pero" panose="020F0506020203030304" pitchFamily="34" charset="0"/>
              <a:ea typeface="+mn-ea"/>
              <a:cs typeface="+mn-cs"/>
            </a:rPr>
            <a:t>Modelling the additional net profit from coffee required several assumptions (e.g. yield benefit of practices, input needed for practice adoption, future development of coffee prices). These assumptions are based on selective monitoring data, expert opinions and sometimes best guesses. There is also little evidence supporting the assumed adoption rates and yield benefits over time. </a:t>
          </a:r>
        </a:p>
      </xdr:txBody>
    </xdr:sp>
    <xdr:clientData/>
  </xdr:twoCellAnchor>
  <xdr:twoCellAnchor>
    <xdr:from>
      <xdr:col>3</xdr:col>
      <xdr:colOff>217306</xdr:colOff>
      <xdr:row>34</xdr:row>
      <xdr:rowOff>48237</xdr:rowOff>
    </xdr:from>
    <xdr:to>
      <xdr:col>7</xdr:col>
      <xdr:colOff>1969770</xdr:colOff>
      <xdr:row>38</xdr:row>
      <xdr:rowOff>9525</xdr:rowOff>
    </xdr:to>
    <xdr:sp macro="" textlink="">
      <xdr:nvSpPr>
        <xdr:cNvPr id="4" name="TextBox 2">
          <a:extLst>
            <a:ext uri="{FF2B5EF4-FFF2-40B4-BE49-F238E27FC236}">
              <a16:creationId xmlns:a16="http://schemas.microsoft.com/office/drawing/2014/main" id="{1B16057B-783D-4C41-8924-9F4B7E45BD20}"/>
            </a:ext>
          </a:extLst>
        </xdr:cNvPr>
        <xdr:cNvSpPr txBox="1"/>
      </xdr:nvSpPr>
      <xdr:spPr>
        <a:xfrm>
          <a:off x="6532381" y="7601562"/>
          <a:ext cx="6133964" cy="86616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Low</a:t>
          </a:r>
          <a:r>
            <a:rPr lang="en-US" sz="1050" b="0" i="0" u="none" strike="noStrike" baseline="0">
              <a:solidFill>
                <a:schemeClr val="dk1"/>
              </a:solidFill>
              <a:latin typeface="Pero" panose="020F0506020203030304" pitchFamily="34" charset="0"/>
              <a:ea typeface="+mn-ea"/>
              <a:cs typeface="+mn-cs"/>
            </a:rPr>
            <a:t>	</a:t>
          </a:r>
        </a:p>
        <a:p>
          <a:r>
            <a:rPr lang="en-US" sz="1050" b="0" i="0" u="none" strike="noStrike" baseline="0">
              <a:solidFill>
                <a:schemeClr val="dk1"/>
              </a:solidFill>
              <a:latin typeface="Pero" panose="020F0506020203030304" pitchFamily="34" charset="0"/>
              <a:ea typeface="+mn-ea"/>
              <a:cs typeface="+mn-cs"/>
            </a:rPr>
            <a:t>The study involves no comparison group. Trained households in treatment kebeles are compared with untrained households before and after the program. Spillove effects of the program, which could be substantial, are not considered.</a:t>
          </a:r>
        </a:p>
      </xdr:txBody>
    </xdr:sp>
    <xdr:clientData/>
  </xdr:twoCellAnchor>
  <xdr:twoCellAnchor editAs="oneCell">
    <xdr:from>
      <xdr:col>4</xdr:col>
      <xdr:colOff>488462</xdr:colOff>
      <xdr:row>0</xdr:row>
      <xdr:rowOff>0</xdr:rowOff>
    </xdr:from>
    <xdr:to>
      <xdr:col>4</xdr:col>
      <xdr:colOff>1849963</xdr:colOff>
      <xdr:row>2</xdr:row>
      <xdr:rowOff>94644</xdr:rowOff>
    </xdr:to>
    <xdr:pic>
      <xdr:nvPicPr>
        <xdr:cNvPr id="7" name="Grafik 6">
          <a:extLst>
            <a:ext uri="{FF2B5EF4-FFF2-40B4-BE49-F238E27FC236}">
              <a16:creationId xmlns:a16="http://schemas.microsoft.com/office/drawing/2014/main" id="{7AD4B42C-A533-452D-B68B-10F1FB623D06}"/>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600462" y="0"/>
          <a:ext cx="1369121" cy="674594"/>
        </a:xfrm>
        <a:prstGeom prst="rect">
          <a:avLst/>
        </a:prstGeom>
      </xdr:spPr>
    </xdr:pic>
    <xdr:clientData/>
  </xdr:twoCellAnchor>
  <xdr:twoCellAnchor editAs="oneCell">
    <xdr:from>
      <xdr:col>4</xdr:col>
      <xdr:colOff>2585354</xdr:colOff>
      <xdr:row>0</xdr:row>
      <xdr:rowOff>154390</xdr:rowOff>
    </xdr:from>
    <xdr:to>
      <xdr:col>6</xdr:col>
      <xdr:colOff>364986</xdr:colOff>
      <xdr:row>2</xdr:row>
      <xdr:rowOff>97717</xdr:rowOff>
    </xdr:to>
    <xdr:pic>
      <xdr:nvPicPr>
        <xdr:cNvPr id="8" name="Grafik 7">
          <a:extLst>
            <a:ext uri="{FF2B5EF4-FFF2-40B4-BE49-F238E27FC236}">
              <a16:creationId xmlns:a16="http://schemas.microsoft.com/office/drawing/2014/main" id="{7990D423-2FEC-49C7-B72C-228ABF3ECDDD}"/>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9697354" y="154390"/>
          <a:ext cx="1009484" cy="521372"/>
        </a:xfrm>
        <a:prstGeom prst="rect">
          <a:avLst/>
        </a:prstGeom>
      </xdr:spPr>
    </xdr:pic>
    <xdr:clientData/>
  </xdr:twoCellAnchor>
  <xdr:twoCellAnchor editAs="oneCell">
    <xdr:from>
      <xdr:col>6</xdr:col>
      <xdr:colOff>479636</xdr:colOff>
      <xdr:row>0</xdr:row>
      <xdr:rowOff>0</xdr:rowOff>
    </xdr:from>
    <xdr:to>
      <xdr:col>7</xdr:col>
      <xdr:colOff>1579077</xdr:colOff>
      <xdr:row>3</xdr:row>
      <xdr:rowOff>16586</xdr:rowOff>
    </xdr:to>
    <xdr:pic>
      <xdr:nvPicPr>
        <xdr:cNvPr id="11" name="Grafik 10">
          <a:extLst>
            <a:ext uri="{FF2B5EF4-FFF2-40B4-BE49-F238E27FC236}">
              <a16:creationId xmlns:a16="http://schemas.microsoft.com/office/drawing/2014/main" id="{CF073318-3B7C-593C-6529-25D88D802B2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274211" y="0"/>
          <a:ext cx="1718099" cy="7798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25399</xdr:colOff>
      <xdr:row>2</xdr:row>
      <xdr:rowOff>0</xdr:rowOff>
    </xdr:from>
    <xdr:to>
      <xdr:col>14</xdr:col>
      <xdr:colOff>472853</xdr:colOff>
      <xdr:row>15</xdr:row>
      <xdr:rowOff>158750</xdr:rowOff>
    </xdr:to>
    <xdr:pic>
      <xdr:nvPicPr>
        <xdr:cNvPr id="2" name="Picture 1" descr="A screenshot of a computer&#10;&#10;Description automatically generated">
          <a:extLst>
            <a:ext uri="{FF2B5EF4-FFF2-40B4-BE49-F238E27FC236}">
              <a16:creationId xmlns:a16="http://schemas.microsoft.com/office/drawing/2014/main" id="{C8F856F2-A85A-E0B5-D39F-BD57C3C15FA8}"/>
            </a:ext>
          </a:extLst>
        </xdr:cNvPr>
        <xdr:cNvPicPr>
          <a:picLocks noChangeAspect="1"/>
        </xdr:cNvPicPr>
      </xdr:nvPicPr>
      <xdr:blipFill>
        <a:blip xmlns:r="http://schemas.openxmlformats.org/officeDocument/2006/relationships" r:embed="rId1"/>
        <a:stretch>
          <a:fillRect/>
        </a:stretch>
      </xdr:blipFill>
      <xdr:spPr>
        <a:xfrm>
          <a:off x="25399" y="0"/>
          <a:ext cx="8591329" cy="2552700"/>
        </a:xfrm>
        <a:prstGeom prst="rect">
          <a:avLst/>
        </a:prstGeom>
      </xdr:spPr>
    </xdr:pic>
    <xdr:clientData/>
  </xdr:twoCellAnchor>
  <xdr:twoCellAnchor>
    <xdr:from>
      <xdr:col>0</xdr:col>
      <xdr:colOff>0</xdr:colOff>
      <xdr:row>21</xdr:row>
      <xdr:rowOff>0</xdr:rowOff>
    </xdr:from>
    <xdr:to>
      <xdr:col>17</xdr:col>
      <xdr:colOff>353571</xdr:colOff>
      <xdr:row>50</xdr:row>
      <xdr:rowOff>0</xdr:rowOff>
    </xdr:to>
    <xdr:sp macro="" textlink="">
      <xdr:nvSpPr>
        <xdr:cNvPr id="3" name="Rechteck 16">
          <a:extLst>
            <a:ext uri="{FF2B5EF4-FFF2-40B4-BE49-F238E27FC236}">
              <a16:creationId xmlns:a16="http://schemas.microsoft.com/office/drawing/2014/main" id="{E8F4BD55-0D4E-3450-CC56-940AF7363FF7}"/>
            </a:ext>
          </a:extLst>
        </xdr:cNvPr>
        <xdr:cNvSpPr/>
      </xdr:nvSpPr>
      <xdr:spPr>
        <a:xfrm>
          <a:off x="0" y="4048125"/>
          <a:ext cx="10773921" cy="6858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srgbClr val="FFFFFF"/>
            </a:solidFill>
            <a:effectLst/>
            <a:uLnTx/>
            <a:uFillTx/>
            <a:latin typeface="Pero"/>
            <a:ea typeface="+mn-ea"/>
            <a:cs typeface="+mn-cs"/>
          </a:endParaRPr>
        </a:p>
      </xdr:txBody>
    </xdr:sp>
    <xdr:clientData/>
  </xdr:twoCellAnchor>
  <xdr:twoCellAnchor editAs="oneCell">
    <xdr:from>
      <xdr:col>0</xdr:col>
      <xdr:colOff>0</xdr:colOff>
      <xdr:row>21</xdr:row>
      <xdr:rowOff>0</xdr:rowOff>
    </xdr:from>
    <xdr:to>
      <xdr:col>17</xdr:col>
      <xdr:colOff>306280</xdr:colOff>
      <xdr:row>55</xdr:row>
      <xdr:rowOff>143799</xdr:rowOff>
    </xdr:to>
    <xdr:pic>
      <xdr:nvPicPr>
        <xdr:cNvPr id="10" name="Picture 9">
          <a:extLst>
            <a:ext uri="{FF2B5EF4-FFF2-40B4-BE49-F238E27FC236}">
              <a16:creationId xmlns:a16="http://schemas.microsoft.com/office/drawing/2014/main" id="{E9CAE59F-C3AD-C9BC-FB36-B7FA92D7DBC6}"/>
            </a:ext>
          </a:extLst>
        </xdr:cNvPr>
        <xdr:cNvPicPr>
          <a:picLocks noChangeAspect="1"/>
        </xdr:cNvPicPr>
      </xdr:nvPicPr>
      <xdr:blipFill>
        <a:blip xmlns:r="http://schemas.openxmlformats.org/officeDocument/2006/relationships" r:embed="rId2"/>
        <a:stretch>
          <a:fillRect/>
        </a:stretch>
      </xdr:blipFill>
      <xdr:spPr>
        <a:xfrm>
          <a:off x="0" y="5381625"/>
          <a:ext cx="10602805" cy="66207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371476</xdr:colOff>
      <xdr:row>12</xdr:row>
      <xdr:rowOff>171450</xdr:rowOff>
    </xdr:from>
    <xdr:to>
      <xdr:col>3</xdr:col>
      <xdr:colOff>43816</xdr:colOff>
      <xdr:row>20</xdr:row>
      <xdr:rowOff>133349</xdr:rowOff>
    </xdr:to>
    <xdr:graphicFrame macro="">
      <xdr:nvGraphicFramePr>
        <xdr:cNvPr id="26" name="Chart 25">
          <a:extLst>
            <a:ext uri="{FF2B5EF4-FFF2-40B4-BE49-F238E27FC236}">
              <a16:creationId xmlns:a16="http://schemas.microsoft.com/office/drawing/2014/main" id="{3863E020-513E-E4A3-2D8F-59100A9B02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496252</xdr:colOff>
      <xdr:row>12</xdr:row>
      <xdr:rowOff>126679</xdr:rowOff>
    </xdr:from>
    <xdr:to>
      <xdr:col>10</xdr:col>
      <xdr:colOff>492442</xdr:colOff>
      <xdr:row>20</xdr:row>
      <xdr:rowOff>125731</xdr:rowOff>
    </xdr:to>
    <xdr:graphicFrame macro="">
      <xdr:nvGraphicFramePr>
        <xdr:cNvPr id="4" name="Chart 31">
          <a:extLst>
            <a:ext uri="{FF2B5EF4-FFF2-40B4-BE49-F238E27FC236}">
              <a16:creationId xmlns:a16="http://schemas.microsoft.com/office/drawing/2014/main" id="{7CC714C1-6F14-2374-85C9-AA1D576449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0</xdr:row>
      <xdr:rowOff>123825</xdr:rowOff>
    </xdr:from>
    <xdr:to>
      <xdr:col>14</xdr:col>
      <xdr:colOff>38100</xdr:colOff>
      <xdr:row>8</xdr:row>
      <xdr:rowOff>161926</xdr:rowOff>
    </xdr:to>
    <xdr:sp macro="" textlink="">
      <xdr:nvSpPr>
        <xdr:cNvPr id="2" name="TextBox 2">
          <a:extLst>
            <a:ext uri="{FF2B5EF4-FFF2-40B4-BE49-F238E27FC236}">
              <a16:creationId xmlns:a16="http://schemas.microsoft.com/office/drawing/2014/main" id="{F0ECBA8A-63BB-4DB5-999F-95695C210B19}"/>
            </a:ext>
          </a:extLst>
        </xdr:cNvPr>
        <xdr:cNvSpPr txBox="1"/>
      </xdr:nvSpPr>
      <xdr:spPr>
        <a:xfrm>
          <a:off x="161925" y="123825"/>
          <a:ext cx="7877175" cy="45624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baseline="0">
              <a:solidFill>
                <a:schemeClr val="dk1"/>
              </a:solidFill>
              <a:effectLst/>
              <a:latin typeface="Pero" panose="020F0506020203030304" pitchFamily="34" charset="0"/>
              <a:ea typeface="+mn-ea"/>
              <a:cs typeface="+mn-cs"/>
            </a:rPr>
            <a:t>*Level of certainty (lowest of the four dimensions evidence strengths, precision of impact estimates, assumptions, and sensitivity):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Low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No direct measurement of household income or consumption expenditure. Income effects 	modeled from intermediate outcomes.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Weak evaluation design (observational, no counterfactual; small or non-representative samples).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Impact/outcome estimates from very different contexts (low generalizability).</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Confidence interval (CI) width &gt; 60% of point estimate or no CI reported at all. Point 	estimates not statistically significant.</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Multiple key assumptions with high uncertainty (best guess).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Medium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Impact estimates based on self-reported income or validated proxy measures.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Observational or quasi-experimental evaluation design with some attempt at causal inference.</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Impact estimates from similar contexts or adapted with reasoning.</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Moderately wide CI (CI width 30-60%). Borderline statistical significance of impact 	estimates.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Some substantiated assumptions (with some form of support based on available evidence or logical 	reasoning).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are moderately sensitive to key parameters. Reasonable variation in inputs leads to noticeable 	but not decision-changing shifts in ROI.</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High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Direct measurement of household consumption expenditure. </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Rigorous experimental/quasi-experimental design with strong causal identification.</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Impact estimates from coffee-growing households in East Africa or validated external validity.</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Income estimates significant at 5% (p&lt;0.05) with narrow confidence intervals (i.e., CI 	width &lt; 31% of the point estimate).</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All key assumptions are empirically grounded or sensitivity-tested.</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are robust to sensitivity analysis. Changes in inputs lead to only modest changes in SROI 	values and conclusions remain consistent.</a:t>
          </a:r>
          <a:endParaRPr lang="en-US" sz="1050">
            <a:effectLst/>
            <a:latin typeface="Pero" panose="020F0506020203030304" pitchFamily="34" charset="0"/>
          </a:endParaRPr>
        </a:p>
        <a:p>
          <a:endParaRPr lang="en-US" sz="1050" b="0" i="0" u="none" strike="noStrike" baseline="0">
            <a:solidFill>
              <a:schemeClr val="dk1"/>
            </a:solidFill>
            <a:latin typeface="Pero" panose="020F0506020203030304" pitchFamily="34" charset="0"/>
            <a:ea typeface="+mn-ea"/>
            <a:cs typeface="+mn-cs"/>
          </a:endParaRPr>
        </a:p>
      </xdr:txBody>
    </xdr:sp>
    <xdr:clientData/>
  </xdr:twoCellAnchor>
  <xdr:twoCellAnchor>
    <xdr:from>
      <xdr:col>0</xdr:col>
      <xdr:colOff>161924</xdr:colOff>
      <xdr:row>9</xdr:row>
      <xdr:rowOff>74295</xdr:rowOff>
    </xdr:from>
    <xdr:to>
      <xdr:col>14</xdr:col>
      <xdr:colOff>57149</xdr:colOff>
      <xdr:row>10</xdr:row>
      <xdr:rowOff>944064</xdr:rowOff>
    </xdr:to>
    <xdr:sp macro="" textlink="">
      <xdr:nvSpPr>
        <xdr:cNvPr id="3" name="TextBox 2">
          <a:extLst>
            <a:ext uri="{FF2B5EF4-FFF2-40B4-BE49-F238E27FC236}">
              <a16:creationId xmlns:a16="http://schemas.microsoft.com/office/drawing/2014/main" id="{579B3A6F-6953-4179-9EB5-5A6ED6803AB4}"/>
            </a:ext>
          </a:extLst>
        </xdr:cNvPr>
        <xdr:cNvSpPr txBox="1"/>
      </xdr:nvSpPr>
      <xdr:spPr>
        <a:xfrm>
          <a:off x="161924" y="4732020"/>
          <a:ext cx="8162925" cy="105074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Low	Design and methods have significant limitations that reduce confidence in causal claims.</a:t>
          </a:r>
        </a:p>
        <a:p>
          <a:r>
            <a:rPr lang="en-US" sz="1050" b="0" i="0" u="none" strike="noStrike" baseline="0">
              <a:solidFill>
                <a:schemeClr val="dk1"/>
              </a:solidFill>
              <a:latin typeface="Pero" panose="020F0506020203030304" pitchFamily="34" charset="0"/>
              <a:ea typeface="+mn-ea"/>
              <a:cs typeface="+mn-cs"/>
            </a:rPr>
            <a:t>Medium	Design is generally appropriate, with clear and justified sampling and analytical methods, though some limitations remain</a:t>
          </a:r>
        </a:p>
        <a:p>
          <a:r>
            <a:rPr lang="en-US" sz="1050" b="0" i="0" u="none" strike="noStrike" baseline="0">
              <a:solidFill>
                <a:schemeClr val="dk1"/>
              </a:solidFill>
              <a:latin typeface="Pero" panose="020F0506020203030304" pitchFamily="34" charset="0"/>
              <a:ea typeface="+mn-ea"/>
              <a:cs typeface="+mn-cs"/>
            </a:rPr>
            <a:t>High	Rigorous design with well-documented, robust methods that effectively address potential biases and support strong 	causal inferences.</a:t>
          </a:r>
        </a:p>
      </xdr:txBody>
    </xdr:sp>
    <xdr:clientData/>
  </xdr:twoCellAnchor>
  <xdr:twoCellAnchor>
    <xdr:from>
      <xdr:col>0</xdr:col>
      <xdr:colOff>173355</xdr:colOff>
      <xdr:row>14</xdr:row>
      <xdr:rowOff>131446</xdr:rowOff>
    </xdr:from>
    <xdr:to>
      <xdr:col>14</xdr:col>
      <xdr:colOff>95250</xdr:colOff>
      <xdr:row>22</xdr:row>
      <xdr:rowOff>97156</xdr:rowOff>
    </xdr:to>
    <xdr:sp macro="" textlink="">
      <xdr:nvSpPr>
        <xdr:cNvPr id="5" name="TextBox 4">
          <a:extLst>
            <a:ext uri="{FF2B5EF4-FFF2-40B4-BE49-F238E27FC236}">
              <a16:creationId xmlns:a16="http://schemas.microsoft.com/office/drawing/2014/main" id="{A65B9127-0FF8-49EE-AC7A-D7DECC7320EC}"/>
            </a:ext>
          </a:extLst>
        </xdr:cNvPr>
        <xdr:cNvSpPr txBox="1"/>
      </xdr:nvSpPr>
      <xdr:spPr>
        <a:xfrm>
          <a:off x="173355" y="6608446"/>
          <a:ext cx="8189595" cy="1413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167641</xdr:colOff>
      <xdr:row>35</xdr:row>
      <xdr:rowOff>9523</xdr:rowOff>
    </xdr:from>
    <xdr:to>
      <xdr:col>14</xdr:col>
      <xdr:colOff>137161</xdr:colOff>
      <xdr:row>60</xdr:row>
      <xdr:rowOff>64769</xdr:rowOff>
    </xdr:to>
    <xdr:sp macro="" textlink="">
      <xdr:nvSpPr>
        <xdr:cNvPr id="6" name="TextBox 5">
          <a:extLst>
            <a:ext uri="{FF2B5EF4-FFF2-40B4-BE49-F238E27FC236}">
              <a16:creationId xmlns:a16="http://schemas.microsoft.com/office/drawing/2014/main" id="{DFF3CF92-E679-4A6D-8A2F-FD72017EFC64}"/>
            </a:ext>
          </a:extLst>
        </xdr:cNvPr>
        <xdr:cNvSpPr txBox="1"/>
      </xdr:nvSpPr>
      <xdr:spPr>
        <a:xfrm>
          <a:off x="167641" y="10349863"/>
          <a:ext cx="8183880" cy="462724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*Yield benefit</a:t>
          </a:r>
          <a:r>
            <a:rPr lang="en-US" sz="1050" b="1" baseline="0">
              <a:solidFill>
                <a:schemeClr val="dk1"/>
              </a:solidFill>
              <a:effectLst/>
              <a:latin typeface="Pero" panose="020F0506020203030304" pitchFamily="34" charset="0"/>
              <a:ea typeface="+mn-ea"/>
              <a:cs typeface="+mn-cs"/>
            </a:rPr>
            <a:t> of GAP adoption without stumping: </a:t>
          </a:r>
          <a:r>
            <a:rPr lang="en-US" sz="1050" b="0" baseline="0">
              <a:solidFill>
                <a:schemeClr val="dk1"/>
              </a:solidFill>
              <a:effectLst/>
              <a:latin typeface="Pero" panose="020F0506020203030304" pitchFamily="34" charset="0"/>
              <a:ea typeface="+mn-ea"/>
              <a:cs typeface="+mn-cs"/>
            </a:rPr>
            <a:t>We have no evidence on the yield effect of the adoption of GAPs other than stumping. The UCAT RCT reports ToT esimates on coffee yield per tree between 8.2% and 18.1% of a training program on regenerative agriculture practices in coffee including rejuvenation in Uganda. We assume that yield effects start one year after the start of programming (as it takes 1 year to cover all training topics).</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*Yield effect of stumping: </a:t>
          </a:r>
          <a:r>
            <a:rPr lang="en-US" sz="1050" b="0" baseline="0">
              <a:solidFill>
                <a:schemeClr val="dk1"/>
              </a:solidFill>
              <a:effectLst/>
              <a:latin typeface="Pero" panose="020F0506020203030304" pitchFamily="34" charset="0"/>
              <a:ea typeface="+mn-ea"/>
              <a:cs typeface="+mn-cs"/>
            </a:rPr>
            <a:t>For the yield benefit of stumping we follow results from a TNS yield study that compared the yield of unstumped and stumped trees on a small number of demo-plots over time. It is assumed that these effects reflect the yield benefit of stumping plus the adoption of other good agricultural practices. The HWG yield pilot study conducted with Laterite in Sidama during the third harvest after stumping found an unconditional impact of 40% of stumping on coffee yield. After accounting for complementary best practices, tree characteristics and location, coffee trees on stumped plots yield 21-23% more compared to trees on unstumped coffee plots. This is significantly lower than the findings of the TNS yield study. We still rely on the TNS study, as the HWG pliot yield study only covered one point in time. </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*Practice adoption over time: </a:t>
          </a:r>
          <a:r>
            <a:rPr lang="en-US" sz="1050" b="0" baseline="0">
              <a:solidFill>
                <a:schemeClr val="dk1"/>
              </a:solidFill>
              <a:effectLst/>
              <a:latin typeface="Pero" panose="020F0506020203030304" pitchFamily="34" charset="0"/>
              <a:ea typeface="+mn-ea"/>
              <a:cs typeface="+mn-cs"/>
            </a:rPr>
            <a:t>The available evaluation data does not allow us to estimate the dynamic effects of the CFC on practice adoption - it is possible that the effects became either stronger or weaker over time. We apply findings from a previous evaluation of TechnoServe's coffee training program in East Africa (IPE Tripe Line, 2017) to model the time path of impact. This allows us to approximate the return on the training over a period of 10 years. The Triple Line evaluation concluded that 63% of the improvement in practice adoption achieved by the end of the training period remained 5 years later. Assuming the decay in farmers' practice adoption is linear implies an annual decay of 7.3% of the initial improvement.</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Spillover effects:</a:t>
          </a:r>
          <a:r>
            <a:rPr lang="en-US" sz="1050" b="0" baseline="0">
              <a:solidFill>
                <a:schemeClr val="dk1"/>
              </a:solidFill>
              <a:effectLst/>
              <a:latin typeface="Pero" panose="020F0506020203030304" pitchFamily="34" charset="0"/>
              <a:ea typeface="+mn-ea"/>
              <a:cs typeface="+mn-cs"/>
            </a:rPr>
            <a:t> The Coffee Farm College could lead to positive spillover effects among participating and non-participating households. Participating households may apply their BP knowledge to other crops. Non-participating households may learn about BPs through knowledge sharing and start applying BPs on their (coffee) plots. The presence of the TNS Coffee Farm College can also inflluence local markets and labor demand. There is limited and mixed evidence on the direction and magnitude of spillover effects of agricultural extension programs. An RCT of an TNS agronomy training program among Rwandan coffee farmers finds no evidence of social diffusion of BP knoweldge; instead control households experienced negative spillovers, likely because of competition for scarce inputs, such as inorganic fertilizer and labor (Duflo et al., 2026). Therefore, we do not consider (positive and/or negative) spillover effects in SROI calculation.</a:t>
          </a:r>
          <a:endParaRPr lang="en-US" sz="1050" b="1">
            <a:solidFill>
              <a:schemeClr val="dk1"/>
            </a:solidFill>
            <a:effectLst/>
            <a:latin typeface="Pero" panose="020F0506020203030304" pitchFamily="34" charset="0"/>
            <a:ea typeface="+mn-ea"/>
            <a:cs typeface="+mn-cs"/>
          </a:endParaRPr>
        </a:p>
      </xdr:txBody>
    </xdr:sp>
    <xdr:clientData/>
  </xdr:twoCellAnchor>
  <xdr:twoCellAnchor>
    <xdr:from>
      <xdr:col>0</xdr:col>
      <xdr:colOff>171450</xdr:colOff>
      <xdr:row>23</xdr:row>
      <xdr:rowOff>19050</xdr:rowOff>
    </xdr:from>
    <xdr:to>
      <xdr:col>14</xdr:col>
      <xdr:colOff>95250</xdr:colOff>
      <xdr:row>29</xdr:row>
      <xdr:rowOff>15240</xdr:rowOff>
    </xdr:to>
    <xdr:sp macro="" textlink="">
      <xdr:nvSpPr>
        <xdr:cNvPr id="7" name="TextBox 6">
          <a:extLst>
            <a:ext uri="{FF2B5EF4-FFF2-40B4-BE49-F238E27FC236}">
              <a16:creationId xmlns:a16="http://schemas.microsoft.com/office/drawing/2014/main" id="{44A97997-48AE-4527-A601-299374F811BF}"/>
            </a:ext>
          </a:extLst>
        </xdr:cNvPr>
        <xdr:cNvSpPr txBox="1"/>
      </xdr:nvSpPr>
      <xdr:spPr>
        <a:xfrm>
          <a:off x="171450" y="8124825"/>
          <a:ext cx="8191500" cy="108204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*Accounting for inflation: </a:t>
          </a:r>
          <a:r>
            <a:rPr lang="en-US" sz="1050" b="0">
              <a:solidFill>
                <a:schemeClr val="dk1"/>
              </a:solidFill>
              <a:effectLst/>
              <a:latin typeface="Pero" panose="020F0506020203030304" pitchFamily="34" charset="0"/>
              <a:ea typeface="+mn-ea"/>
              <a:cs typeface="+mn-cs"/>
            </a:rPr>
            <a:t>We</a:t>
          </a:r>
          <a:r>
            <a:rPr lang="en-US" sz="1050" b="0" baseline="0">
              <a:solidFill>
                <a:schemeClr val="dk1"/>
              </a:solidFill>
              <a:effectLst/>
              <a:latin typeface="Pero" panose="020F0506020203030304" pitchFamily="34" charset="0"/>
              <a:ea typeface="+mn-ea"/>
              <a:cs typeface="+mn-cs"/>
            </a:rPr>
            <a:t> present cash flows in real vaules, deflating coffee prices and labor costs (for the calculation of profts from coffee) as well as project costs back to real value in base year (2018 for C2019 and 2019 for C2020),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p>
      </xdr:txBody>
    </xdr:sp>
    <xdr:clientData/>
  </xdr:twoCellAnchor>
  <xdr:twoCellAnchor>
    <xdr:from>
      <xdr:col>0</xdr:col>
      <xdr:colOff>167640</xdr:colOff>
      <xdr:row>29</xdr:row>
      <xdr:rowOff>133348</xdr:rowOff>
    </xdr:from>
    <xdr:to>
      <xdr:col>14</xdr:col>
      <xdr:colOff>114299</xdr:colOff>
      <xdr:row>34</xdr:row>
      <xdr:rowOff>247649</xdr:rowOff>
    </xdr:to>
    <xdr:sp macro="" textlink="">
      <xdr:nvSpPr>
        <xdr:cNvPr id="4" name="TextBox 3">
          <a:extLst>
            <a:ext uri="{FF2B5EF4-FFF2-40B4-BE49-F238E27FC236}">
              <a16:creationId xmlns:a16="http://schemas.microsoft.com/office/drawing/2014/main" id="{FB4E83EF-EC5F-4AC5-8F31-1B910F267666}"/>
            </a:ext>
          </a:extLst>
        </xdr:cNvPr>
        <xdr:cNvSpPr txBox="1"/>
      </xdr:nvSpPr>
      <xdr:spPr>
        <a:xfrm>
          <a:off x="167640" y="9563098"/>
          <a:ext cx="7947659" cy="10668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a:latin typeface="Pero" panose="020F0506020203030304" pitchFamily="34" charset="0"/>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a:t>
          </a:r>
          <a:r>
            <a:rPr lang="en-US" sz="1050" b="0" baseline="0">
              <a:latin typeface="Pero" panose="020F0506020203030304" pitchFamily="34" charset="0"/>
            </a:rPr>
            <a:t>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a:t>
          </a:r>
          <a:r>
            <a:rPr lang="en-US" sz="1050" b="0">
              <a:latin typeface="Pero" panose="020F0506020203030304" pitchFamily="34" charset="0"/>
            </a:rPr>
            <a:t>n the project costs</a:t>
          </a:r>
          <a:r>
            <a:rPr lang="en-US" sz="1050" b="0" baseline="0">
              <a:latin typeface="Pero" panose="020F0506020203030304" pitchFamily="34" charset="0"/>
            </a:rPr>
            <a:t> in the base case. </a:t>
          </a:r>
          <a:r>
            <a:rPr lang="en-US" sz="1050" b="0">
              <a:latin typeface="Pero" panose="020F0506020203030304" pitchFamily="34" charset="0"/>
            </a:rPr>
            <a:t> </a:t>
          </a:r>
          <a:endParaRPr lang="en-US" sz="1050" b="0">
            <a:solidFill>
              <a:schemeClr val="dk1"/>
            </a:solidFill>
            <a:effectLst/>
            <a:latin typeface="Pero" panose="020F0506020203030304" pitchFamily="34" charset="0"/>
            <a:ea typeface="+mn-ea"/>
            <a:cs typeface="+mn-cs"/>
          </a:endParaRPr>
        </a:p>
      </xdr:txBody>
    </xdr:sp>
    <xdr:clientData/>
  </xdr:twoCellAnchor>
  <xdr:twoCellAnchor>
    <xdr:from>
      <xdr:col>0</xdr:col>
      <xdr:colOff>167639</xdr:colOff>
      <xdr:row>10</xdr:row>
      <xdr:rowOff>1047750</xdr:rowOff>
    </xdr:from>
    <xdr:to>
      <xdr:col>14</xdr:col>
      <xdr:colOff>85724</xdr:colOff>
      <xdr:row>14</xdr:row>
      <xdr:rowOff>26670</xdr:rowOff>
    </xdr:to>
    <xdr:sp macro="" textlink="">
      <xdr:nvSpPr>
        <xdr:cNvPr id="8" name="TextBox 7">
          <a:extLst>
            <a:ext uri="{FF2B5EF4-FFF2-40B4-BE49-F238E27FC236}">
              <a16:creationId xmlns:a16="http://schemas.microsoft.com/office/drawing/2014/main" id="{3C028022-96A6-4AE9-8DD4-9D9F5923A94C}"/>
            </a:ext>
          </a:extLst>
        </xdr:cNvPr>
        <xdr:cNvSpPr txBox="1"/>
      </xdr:nvSpPr>
      <xdr:spPr>
        <a:xfrm>
          <a:off x="167639" y="5886450"/>
          <a:ext cx="8185785" cy="61722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i="0" u="none" strike="noStrike" baseline="0">
              <a:solidFill>
                <a:schemeClr val="dk1"/>
              </a:solidFill>
              <a:latin typeface="Pero" panose="020F0506020203030304" pitchFamily="34" charset="0"/>
              <a:ea typeface="+mn-ea"/>
              <a:cs typeface="+mn-cs"/>
            </a:rPr>
            <a:t>*Impact measure: </a:t>
          </a:r>
          <a:r>
            <a:rPr lang="en-US" sz="1050" b="0" i="0" u="none" strike="noStrike" baseline="0">
              <a:solidFill>
                <a:schemeClr val="dk1"/>
              </a:solidFill>
              <a:latin typeface="Pero" panose="020F0506020203030304" pitchFamily="34" charset="0"/>
              <a:ea typeface="+mn-ea"/>
              <a:cs typeface="+mn-cs"/>
            </a:rPr>
            <a:t>The evaluation does not provide data on total household income. Instead, it focuses on the intermediate outcome of adoption status of agricultural best practices. We assume yield effects of practice adoption to calcuate coffee revenues, costs associated with practice adoption to calculate coffee profits.</a:t>
          </a:r>
        </a:p>
      </xdr:txBody>
    </xdr:sp>
    <xdr:clientData/>
  </xdr:twoCellAnchor>
</xdr:wsDr>
</file>

<file path=xl/persons/person.xml><?xml version="1.0" encoding="utf-8"?>
<personList xmlns="http://schemas.microsoft.com/office/spreadsheetml/2018/threadedcomments" xmlns:x="http://schemas.openxmlformats.org/spreadsheetml/2006/main">
  <person displayName="Wiegel, Sarah" id="{2B9235A7-84C9-46F8-9EBF-11ABDEB3FB74}" userId="S::swiegel@herewegrow.org::750ddbee-ee52-4a41-b292-ae74334bd7d4" providerId="AD"/>
  <person displayName="Kühling, Marlene" id="{AEEA7E2E-A0F6-493E-8538-A29E482DB941}" userId="S::mkuehling@herewegrow.org::2654acc4-f93b-4a61-a09f-215039356081" providerId="AD"/>
</personList>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0" dT="2026-07-01T08:24:53.30" personId="{2B9235A7-84C9-46F8-9EBF-11ABDEB3FB74}" id="{3F1013A5-A04C-4CB8-854B-C3206E2A9D53}">
    <text>0nly 50% of expected yield effect of stumping materialize</text>
  </threadedComment>
  <threadedComment ref="B31" dT="2026-07-01T08:26:54.76" personId="{2B9235A7-84C9-46F8-9EBF-11ABDEB3FB74}" id="{A989DCF2-79FC-485E-80B0-09E9B9929C71}">
    <text>Average coffee price increases by 30% or yield effect of adopting at least 4 practices increases to 30%</text>
  </threadedComment>
</ThreadedComments>
</file>

<file path=xl/threadedComments/threadedComment2.xml><?xml version="1.0" encoding="utf-8"?>
<ThreadedComments xmlns="http://schemas.microsoft.com/office/spreadsheetml/2018/threadedcomments" xmlns:x="http://schemas.openxmlformats.org/spreadsheetml/2006/main">
  <threadedComment ref="B7" dT="2025-04-23T11:28:30.20" personId="{2B9235A7-84C9-46F8-9EBF-11ABDEB3FB74}" id="{21ADC157-EA68-47DD-9C1E-5723C1E4E3F6}">
    <text>We choose as year of analysis 2021 to be able to allow for comparisons with latest international poverty lines.</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6-06-09T21:01:25.98" personId="{2B9235A7-84C9-46F8-9EBF-11ABDEB3FB74}" id="{0FDF0074-0F83-4ED3-B44E-AA3145D7A02A}">
    <text>For average coffee farm size</text>
  </threadedComment>
  <threadedComment ref="C5" dT="2025-04-17T07:30:09.63" personId="{2B9235A7-84C9-46F8-9EBF-11ABDEB3FB74}" id="{4F34A564-927B-4337-B0EE-35AC8B71233C}">
    <text>IFPRI Final Impact Report, p.39  Following UCAT, we assume a linear decay in farmers' practice adoption by 7.3% of the initial improvement per year.</text>
  </threadedComment>
  <threadedComment ref="C5" dT="2026-07-31T07:54:11.16" personId="{2B9235A7-84C9-46F8-9EBF-11ABDEB3FB74}" id="{3FBC5E65-0E99-4941-ADC5-316FFD2B4215}" parentId="{4F34A564-927B-4337-B0EE-35AC8B71233C}">
    <text xml:space="preserve">The evaluation only observes adoption rates on one plot which the farmer considers as the plot where he/she applied most practices. We assume this adoption rate applies to the whole coffee farm. </text>
  </threadedComment>
  <threadedComment ref="C8" dT="2025-04-17T07:53:34.90" personId="{2B9235A7-84C9-46F8-9EBF-11ABDEB3FB74}" id="{9721723E-1274-437F-864E-ACBFFC2F8E11}">
    <text>Additional costs for GAP adoption are so marginal that we do not include them here</text>
  </threadedComment>
  <threadedComment ref="C14" dT="2025-04-17T08:01:52.93" personId="{2B9235A7-84C9-46F8-9EBF-11ABDEB3FB74}" id="{5DB30FA3-E9F5-4D5C-849F-60DB562AC590}">
    <text>IFPRI Impact Report, p.36. This relates to the treatment effect for topic-trained households. Following UCAT, we assume a linear decay in farmers' practice adoption by 7.3% of the initial improvement per year.</text>
  </threadedComment>
  <threadedComment ref="C15" dT="2025-04-17T08:01:52.93" personId="{2B9235A7-84C9-46F8-9EBF-11ABDEB3FB74}" id="{498DE4F1-4622-49B4-A1A3-9CF92F4ABDBC}">
    <text>IFRPI data from C2019 stumping survey endline. We do not have info in which year trees were stumped. We assume that stumping occurs in training year 1 (2019) and then decays linearly by 7.3 % (UCAT study). The evidence in the Sidama project shows that most farmers try out stumping during the first year.</text>
  </threadedComment>
  <threadedComment ref="C34" dT="2025-04-17T08:40:18.21" personId="{2B9235A7-84C9-46F8-9EBF-11ABDEB3FB74}" id="{509A70AD-A0D5-4351-A2F0-256814C27F0B}">
    <text>IFPRI Impact Report, p.31  
While the C2019 evaluation was conducted right after completion of the program, the endline for C2020 was conducted one year later. Therefore, we multiply the estimated impact by 1.073 to obtain the estimated impact immediately after the program had finished.  Impact in the following years decays by 7.3%.</text>
  </threadedComment>
  <threadedComment ref="C37" dT="2025-04-17T09:27:07.84" personId="{2B9235A7-84C9-46F8-9EBF-11ABDEB3FB74}" id="{D6621494-8BA6-4136-82B8-420AE52FDD57}">
    <text>Additional costs for GAP adoption are so marginal that we do not include them here</text>
  </threadedComment>
  <threadedComment ref="C43" dT="2025-04-24T12:21:49.62" personId="{2B9235A7-84C9-46F8-9EBF-11ABDEB3FB74}" id="{FAB66F13-4CFB-4641-8B7F-55A95A4E2639}">
    <text>IFPRI Impact Report p. 36. Based on the stumping report, we assume most stumping takes playe in Yr1 and Yr2. Following UCAT, we assume a linear decay in farmers' practice adoption by 7.3% of the initial improvement per year.</text>
  </threadedComment>
  <threadedComment ref="C44" dT="2025-04-16T13:08:31.60" personId="{AEEA7E2E-A0F6-493E-8538-A29E482DB941}" id="{6A6A024B-77A2-4528-A30A-B1EF1B40CDAD}">
    <text>IFPRI Stumping Report C2020 p.36. Following UCAT, we assume a linear decay in farmers' practice adoption by 7.3% of the initial improvement per year.</text>
  </threadedComment>
  <threadedComment ref="C45" dT="2025-04-16T13:08:37.59" personId="{AEEA7E2E-A0F6-493E-8538-A29E482DB941}" id="{7D12B111-BA18-4133-ACBF-AF1C0B09CA93}">
    <text>IFPRI Stumping Report C2020, p.36. Following UCAT, we assume a linear decay in farmers' practice adoption by 7.3% of the initial improvement per year.</text>
  </threadedComment>
  <threadedComment ref="B74" dT="2026-06-09T21:06:47.59" personId="{2B9235A7-84C9-46F8-9EBF-11ABDEB3FB74}" id="{AFDB6278-9EF1-4A34-944F-9110C65D4405}">
    <text>we substract the cost of the exit component since project benefits also do not include number of stumped trees/adoption rates after exit component</text>
  </threadedComment>
  <threadedComment ref="B108" dT="2026-06-09T20:43:49.80" personId="{2B9235A7-84C9-46F8-9EBF-11ABDEB3FB74}" id="{A3557CFE-E603-43F8-B68F-6FF868D1A4B5}">
    <text>Relative to mean hh consumption epxpenditure in SNNP</text>
  </threadedComment>
  <threadedComment ref="C108" dT="2026-06-09T20:49:38.50" personId="{2B9235A7-84C9-46F8-9EBF-11ABDEB3FB74}" id="{08E17318-BED3-44DC-B20A-092F53F7933F}">
    <text xml:space="preserve">Project-wide average hh relative income increase weighted by the number of trained households. C2019 average income change is inflated to 2019 ETB to align with consumption expenditure value. </text>
  </threadedComment>
</ThreadedComments>
</file>

<file path=xl/threadedComments/threadedComment4.xml><?xml version="1.0" encoding="utf-8"?>
<ThreadedComments xmlns="http://schemas.microsoft.com/office/spreadsheetml/2018/threadedcomments" xmlns:x="http://schemas.openxmlformats.org/spreadsheetml/2006/main">
  <threadedComment ref="B8" dT="2026-06-29T15:46:07.38" personId="{2B9235A7-84C9-46F8-9EBF-11ABDEB3FB74}" id="{2930978A-4E0B-4C8A-A5DB-6B70D22B3F22}">
    <text xml:space="preserve">This assumption indicates how much of the TNS model's projected yield value is reflected in observed field data. 100% of base means field outcomes fully match the original model assumptions; lower percentages indicate a gap between projected and observed values.
We test yield assumptions as evaluation data consistently shows lower yields than the TNS model projections. We apply a corresponding assumption to adjust the SROI calculation accordingly. This allows us to assess how sensitive the SROI estimate is to the accuracy of underlying agronomic assumptions.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DE100CE-0BA1-447E-9FFF-74BE76BB3D2E}">
  <we:reference id="WA200010725" version="1.0.0.1" store="Omex" storeType="OMEX"/>
  <we:alternateReferences>
    <we:reference id="WA200010725" version="1.0.0.1" store="WA200010725" storeType="OMEX"/>
  </we:alternateReferences>
  <we:properties>
    <we:property name="claude.fileId" value="&quot;c7da707b-aafb-4d51-bd92-defea359082c&quot;"/>
  </we:properties>
  <we:bindings/>
  <we:snapshot xmlns:r="http://schemas.openxmlformats.org/officeDocument/2006/relationships"/>
</we:webextension>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ifpri.org/" TargetMode="External"/><Relationship Id="rId7" Type="http://schemas.openxmlformats.org/officeDocument/2006/relationships/vmlDrawing" Target="../drawings/vmlDrawing1.vml"/><Relationship Id="rId2" Type="http://schemas.openxmlformats.org/officeDocument/2006/relationships/hyperlink" Target="https://www.laterite.com/" TargetMode="External"/><Relationship Id="rId1" Type="http://schemas.openxmlformats.org/officeDocument/2006/relationships/hyperlink" Target="https://www.technoserve.or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herewegrow.org/wp-content/uploads/2025/09/250515_IFPRI-Impact-Report-SID-TNS-CFC-Final.pdf" TargetMode="External"/><Relationship Id="rId9"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file/d/13czYppfews1nlRWHAgUT4gLdGn5NoRhB/view" TargetMode="External"/><Relationship Id="rId13" Type="http://schemas.openxmlformats.org/officeDocument/2006/relationships/hyperlink" Target="https://drive.google.com/file/d/1kpcQKbrVv_XoP0pX9LjJcgUJ-OeSrEbB/view" TargetMode="External"/><Relationship Id="rId18" Type="http://schemas.openxmlformats.org/officeDocument/2006/relationships/hyperlink" Target="https://ess.gov.et/download/2021-22-survey-report/?wpdmdl=9234&amp;refresh=6a281109282551781010697" TargetMode="External"/><Relationship Id="rId26" Type="http://schemas.microsoft.com/office/2017/10/relationships/threadedComment" Target="../threadedComments/threadedComment2.xml"/><Relationship Id="rId3" Type="http://schemas.openxmlformats.org/officeDocument/2006/relationships/hyperlink" Target="https://drive.google.com/file/d/13czYppfews1nlRWHAgUT4gLdGn5NoRhB/view" TargetMode="External"/><Relationship Id="rId21" Type="http://schemas.openxmlformats.org/officeDocument/2006/relationships/hyperlink" Target="https://www.oanda.com/currency-converter/en/?from=ETB&amp;to=EUR&amp;amount=1" TargetMode="External"/><Relationship Id="rId7" Type="http://schemas.openxmlformats.org/officeDocument/2006/relationships/hyperlink" Target="https://drive.google.com/file/d/13czYppfews1nlRWHAgUT4gLdGn5NoRhB/view" TargetMode="External"/><Relationship Id="rId12" Type="http://schemas.openxmlformats.org/officeDocument/2006/relationships/hyperlink" Target="https://drive.google.com/file/d/1kpcQKbrVv_XoP0pX9LjJcgUJ-OeSrEbB/view" TargetMode="External"/><Relationship Id="rId17" Type="http://schemas.openxmlformats.org/officeDocument/2006/relationships/hyperlink" Target="https://www.technoserve.org/wp-content/uploads/2017/04/triple-line-evaluation-of-the-coffee-initiative.pdf" TargetMode="External"/><Relationship Id="rId25" Type="http://schemas.openxmlformats.org/officeDocument/2006/relationships/comments" Target="../comments2.xml"/><Relationship Id="rId2" Type="http://schemas.openxmlformats.org/officeDocument/2006/relationships/hyperlink" Target="https://www.herewegrow.org/wp-content/uploads/2025/09/250515_IFPRI-Impact-Report-SID-TNS-CFC-Final.pdf" TargetMode="External"/><Relationship Id="rId16" Type="http://schemas.openxmlformats.org/officeDocument/2006/relationships/hyperlink" Target="https://drive.google.com/file/d/1kpcQKbrVv_XoP0pX9LjJcgUJ-OeSrEbB/view" TargetMode="External"/><Relationship Id="rId20" Type="http://schemas.openxmlformats.org/officeDocument/2006/relationships/hyperlink" Target="https://data.worldbank.org/indicator/PA.NUS.PPP?year=2008&amp;locations=ET" TargetMode="External"/><Relationship Id="rId1" Type="http://schemas.openxmlformats.org/officeDocument/2006/relationships/hyperlink" Target="https://www.imf.org/en/Publications/WEO/weo-database/2025/april/weo-report?c=644,&amp;s=NGDP_D,&amp;sy=2017&amp;ey=2030&amp;ssm=0&amp;scsm=1&amp;scc=0&amp;ssd=1&amp;ssc=0&amp;sic=0&amp;sort=country&amp;ds=.&amp;br=1" TargetMode="External"/><Relationship Id="rId6" Type="http://schemas.openxmlformats.org/officeDocument/2006/relationships/hyperlink" Target="https://drive.google.com/file/d/13czYppfews1nlRWHAgUT4gLdGn5NoRhB/view" TargetMode="External"/><Relationship Id="rId11" Type="http://schemas.openxmlformats.org/officeDocument/2006/relationships/hyperlink" Target="https://drive.google.com/file/d/1kpcQKbrVv_XoP0pX9LjJcgUJ-OeSrEbB/view" TargetMode="External"/><Relationship Id="rId24" Type="http://schemas.openxmlformats.org/officeDocument/2006/relationships/vmlDrawing" Target="../drawings/vmlDrawing2.vml"/><Relationship Id="rId5" Type="http://schemas.openxmlformats.org/officeDocument/2006/relationships/hyperlink" Target="https://drive.google.com/file/d/13czYppfews1nlRWHAgUT4gLdGn5NoRhB/view" TargetMode="External"/><Relationship Id="rId15" Type="http://schemas.openxmlformats.org/officeDocument/2006/relationships/hyperlink" Target="https://drive.google.com/file/d/1kpcQKbrVv_XoP0pX9LjJcgUJ-OeSrEbB/view" TargetMode="External"/><Relationship Id="rId23" Type="http://schemas.openxmlformats.org/officeDocument/2006/relationships/printerSettings" Target="../printerSettings/printerSettings3.bin"/><Relationship Id="rId10" Type="http://schemas.openxmlformats.org/officeDocument/2006/relationships/hyperlink" Target="https://drive.google.com/file/d/1kpcQKbrVv_XoP0pX9LjJcgUJ-OeSrEbB/view" TargetMode="External"/><Relationship Id="rId19" Type="http://schemas.openxmlformats.org/officeDocument/2006/relationships/hyperlink" Target="https://drive.google.com/file/d/13czYppfews1nlRWHAgUT4gLdGn5NoRhB/view?usp=sharing" TargetMode="External"/><Relationship Id="rId4" Type="http://schemas.openxmlformats.org/officeDocument/2006/relationships/hyperlink" Target="https://drive.google.com/file/d/13czYppfews1nlRWHAgUT4gLdGn5NoRhB/view" TargetMode="External"/><Relationship Id="rId9" Type="http://schemas.openxmlformats.org/officeDocument/2006/relationships/hyperlink" Target="https://drive.google.com/file/d/13czYppfews1nlRWHAgUT4gLdGn5NoRhB/view" TargetMode="External"/><Relationship Id="rId14" Type="http://schemas.openxmlformats.org/officeDocument/2006/relationships/hyperlink" Target="https://drive.google.com/file/d/1kpcQKbrVv_XoP0pX9LjJcgUJ-OeSrEbB/view" TargetMode="External"/><Relationship Id="rId22" Type="http://schemas.openxmlformats.org/officeDocument/2006/relationships/hyperlink" Target="https://data.worldbank.org/indicator/PA.NUS.PPP?year=2008&amp;locations=DE"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8AC2-030F-4ACD-A809-1B04428C4F68}">
  <dimension ref="A1:A3"/>
  <sheetViews>
    <sheetView workbookViewId="0">
      <selection activeCell="A5" sqref="A5"/>
    </sheetView>
  </sheetViews>
  <sheetFormatPr baseColWidth="10" defaultColWidth="9.1796875" defaultRowHeight="14.5" x14ac:dyDescent="0.35"/>
  <sheetData>
    <row r="1" spans="1:1" x14ac:dyDescent="0.35">
      <c r="A1" s="4" t="s">
        <v>0</v>
      </c>
    </row>
    <row r="2" spans="1:1" x14ac:dyDescent="0.35">
      <c r="A2" s="4"/>
    </row>
    <row r="3" spans="1:1" x14ac:dyDescent="0.35">
      <c r="A3" s="4"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325CB-70FF-4DF9-AA58-8A097E31AE61}">
  <dimension ref="A1:H94"/>
  <sheetViews>
    <sheetView showGridLines="0" tabSelected="1" zoomScaleNormal="100" workbookViewId="0">
      <selection activeCell="E64" sqref="E64"/>
    </sheetView>
  </sheetViews>
  <sheetFormatPr baseColWidth="10" defaultColWidth="9.1796875" defaultRowHeight="14.5" x14ac:dyDescent="0.35"/>
  <cols>
    <col min="1" max="1" width="4.453125" style="2" customWidth="1"/>
    <col min="2" max="2" width="29.54296875" style="2" customWidth="1"/>
    <col min="3" max="3" width="58" style="1" customWidth="1"/>
    <col min="4" max="4" width="9.81640625" customWidth="1"/>
    <col min="5" max="5" width="35.7265625" customWidth="1"/>
    <col min="8" max="8" width="29.54296875" customWidth="1"/>
  </cols>
  <sheetData>
    <row r="1" spans="1:8" ht="14.5" customHeight="1" x14ac:dyDescent="0.35">
      <c r="A1" s="12"/>
      <c r="B1" s="13"/>
      <c r="C1" s="14"/>
      <c r="D1" s="15"/>
      <c r="E1" s="15"/>
      <c r="F1" s="15"/>
      <c r="G1" s="15"/>
      <c r="H1" s="16"/>
    </row>
    <row r="2" spans="1:8" ht="30" customHeight="1" x14ac:dyDescent="0.4">
      <c r="A2" s="17"/>
      <c r="B2" s="18" t="s">
        <v>2</v>
      </c>
      <c r="C2" s="19" t="s">
        <v>3</v>
      </c>
      <c r="D2" s="20"/>
      <c r="E2" s="21"/>
      <c r="F2" s="21"/>
      <c r="G2" s="21"/>
      <c r="H2" s="22"/>
    </row>
    <row r="3" spans="1:8" ht="16.5" customHeight="1" x14ac:dyDescent="0.35">
      <c r="A3" s="23"/>
      <c r="B3" s="24"/>
      <c r="C3" s="25"/>
      <c r="D3" s="21"/>
      <c r="E3" s="21"/>
      <c r="F3" s="21"/>
      <c r="G3" s="21"/>
      <c r="H3" s="22"/>
    </row>
    <row r="4" spans="1:8" ht="18" x14ac:dyDescent="0.4">
      <c r="A4" s="26"/>
      <c r="B4" s="27" t="s">
        <v>4</v>
      </c>
      <c r="C4" s="28"/>
      <c r="D4" s="29"/>
      <c r="E4" s="30"/>
      <c r="F4" s="30"/>
      <c r="G4" s="30"/>
      <c r="H4" s="31"/>
    </row>
    <row r="5" spans="1:8" ht="7.5" customHeight="1" x14ac:dyDescent="0.4">
      <c r="A5" s="32"/>
      <c r="B5" s="33"/>
      <c r="C5" s="34"/>
      <c r="D5" s="35"/>
      <c r="E5" s="21"/>
      <c r="F5" s="21"/>
      <c r="G5" s="21"/>
      <c r="H5" s="22"/>
    </row>
    <row r="6" spans="1:8" ht="18" x14ac:dyDescent="0.4">
      <c r="A6" s="32"/>
      <c r="B6" s="36" t="s">
        <v>5</v>
      </c>
      <c r="C6" s="281" t="s">
        <v>3</v>
      </c>
      <c r="D6" s="38"/>
      <c r="E6" s="21"/>
      <c r="F6" s="21"/>
      <c r="G6" s="21"/>
      <c r="H6" s="22"/>
    </row>
    <row r="7" spans="1:8" x14ac:dyDescent="0.35">
      <c r="A7" s="32"/>
      <c r="B7" s="39" t="s">
        <v>6</v>
      </c>
      <c r="C7" s="40" t="s">
        <v>7</v>
      </c>
      <c r="D7" s="41"/>
      <c r="E7" s="21"/>
      <c r="F7" s="21"/>
      <c r="G7" s="21"/>
      <c r="H7" s="22"/>
    </row>
    <row r="8" spans="1:8" x14ac:dyDescent="0.35">
      <c r="A8" s="32"/>
      <c r="B8" s="39" t="s">
        <v>8</v>
      </c>
      <c r="C8" s="40" t="s">
        <v>259</v>
      </c>
      <c r="D8" s="42" t="s">
        <v>9</v>
      </c>
      <c r="E8" s="21"/>
      <c r="F8" s="21"/>
      <c r="G8" s="21"/>
      <c r="H8" s="22"/>
    </row>
    <row r="9" spans="1:8" x14ac:dyDescent="0.35">
      <c r="A9" s="32"/>
      <c r="B9" s="39" t="s">
        <v>10</v>
      </c>
      <c r="C9" s="37" t="s">
        <v>11</v>
      </c>
      <c r="D9" s="42"/>
      <c r="E9" s="21"/>
      <c r="F9" s="21"/>
      <c r="G9" s="21"/>
      <c r="H9" s="22"/>
    </row>
    <row r="10" spans="1:8" x14ac:dyDescent="0.35">
      <c r="A10" s="32"/>
      <c r="B10" s="39" t="s">
        <v>12</v>
      </c>
      <c r="C10" s="37" t="s">
        <v>13</v>
      </c>
      <c r="D10" s="41"/>
      <c r="E10" s="21"/>
      <c r="F10" s="21"/>
      <c r="G10" s="21"/>
      <c r="H10" s="22"/>
    </row>
    <row r="11" spans="1:8" x14ac:dyDescent="0.35">
      <c r="A11" s="32"/>
      <c r="B11" s="39" t="s">
        <v>14</v>
      </c>
      <c r="C11" s="43" t="s">
        <v>15</v>
      </c>
      <c r="D11" s="41"/>
      <c r="E11" s="21"/>
      <c r="F11" s="21"/>
      <c r="G11" s="21"/>
      <c r="H11" s="22"/>
    </row>
    <row r="12" spans="1:8" ht="29" x14ac:dyDescent="0.35">
      <c r="A12" s="32"/>
      <c r="B12" s="39" t="s">
        <v>16</v>
      </c>
      <c r="C12" s="37" t="s">
        <v>17</v>
      </c>
      <c r="D12" s="41"/>
      <c r="E12" s="21"/>
      <c r="F12" s="21"/>
      <c r="G12" s="21"/>
      <c r="H12" s="22"/>
    </row>
    <row r="13" spans="1:8" x14ac:dyDescent="0.35">
      <c r="A13" s="32"/>
      <c r="B13" s="39" t="s">
        <v>18</v>
      </c>
      <c r="C13" s="37" t="s">
        <v>19</v>
      </c>
      <c r="D13" s="41"/>
      <c r="E13" s="21"/>
      <c r="F13" s="21"/>
      <c r="G13" s="21"/>
      <c r="H13" s="22"/>
    </row>
    <row r="14" spans="1:8" x14ac:dyDescent="0.35">
      <c r="A14" s="32"/>
      <c r="B14" s="39" t="s">
        <v>20</v>
      </c>
      <c r="C14" s="37" t="s">
        <v>21</v>
      </c>
      <c r="D14" s="41"/>
      <c r="E14" s="21"/>
      <c r="F14" s="21"/>
      <c r="G14" s="21"/>
      <c r="H14" s="22"/>
    </row>
    <row r="15" spans="1:8" x14ac:dyDescent="0.35">
      <c r="A15" s="32"/>
      <c r="B15" s="39" t="s">
        <v>22</v>
      </c>
      <c r="C15" s="44">
        <v>46204</v>
      </c>
      <c r="D15" s="41"/>
      <c r="E15" s="21"/>
      <c r="F15" s="21"/>
      <c r="G15" s="21"/>
      <c r="H15" s="22"/>
    </row>
    <row r="16" spans="1:8" x14ac:dyDescent="0.35">
      <c r="A16" s="32"/>
      <c r="B16" s="39" t="s">
        <v>23</v>
      </c>
      <c r="C16" s="44" t="s">
        <v>24</v>
      </c>
      <c r="D16" s="41"/>
      <c r="E16" s="21"/>
      <c r="F16" s="21"/>
      <c r="G16" s="21"/>
      <c r="H16" s="22"/>
    </row>
    <row r="17" spans="1:8" ht="70.150000000000006" customHeight="1" x14ac:dyDescent="0.35">
      <c r="A17" s="32"/>
      <c r="B17" s="45"/>
      <c r="C17" s="25"/>
      <c r="D17" s="21"/>
      <c r="E17" s="21"/>
      <c r="F17" s="21"/>
      <c r="G17" s="21"/>
      <c r="H17" s="22"/>
    </row>
    <row r="18" spans="1:8" ht="18" x14ac:dyDescent="0.4">
      <c r="A18" s="26"/>
      <c r="B18" s="27" t="s">
        <v>25</v>
      </c>
      <c r="C18" s="28"/>
      <c r="D18" s="29"/>
      <c r="E18" s="29"/>
      <c r="F18" s="29"/>
      <c r="G18" s="29"/>
      <c r="H18" s="46"/>
    </row>
    <row r="19" spans="1:8" ht="7.15" customHeight="1" x14ac:dyDescent="0.4">
      <c r="A19" s="47"/>
      <c r="B19" s="33"/>
      <c r="C19" s="34"/>
      <c r="D19" s="35"/>
      <c r="E19" s="21"/>
      <c r="F19" s="21"/>
      <c r="G19" s="21"/>
      <c r="H19" s="22"/>
    </row>
    <row r="20" spans="1:8" ht="18" x14ac:dyDescent="0.4">
      <c r="A20" s="48"/>
      <c r="B20" s="49" t="s">
        <v>26</v>
      </c>
      <c r="C20" s="226">
        <f>SROI!C114</f>
        <v>0.98446367900480602</v>
      </c>
      <c r="D20" s="21"/>
      <c r="E20" s="21"/>
      <c r="F20" s="21"/>
      <c r="G20" s="21"/>
      <c r="H20" s="22"/>
    </row>
    <row r="21" spans="1:8" ht="15.65" customHeight="1" x14ac:dyDescent="0.35">
      <c r="A21" s="48"/>
      <c r="B21" s="39" t="s">
        <v>27</v>
      </c>
      <c r="C21" s="37" t="s">
        <v>28</v>
      </c>
      <c r="D21" s="21"/>
      <c r="E21" s="21"/>
      <c r="F21" s="21"/>
      <c r="G21" s="21"/>
      <c r="H21" s="22"/>
    </row>
    <row r="22" spans="1:8" ht="24" customHeight="1" x14ac:dyDescent="0.35">
      <c r="A22" s="50"/>
      <c r="B22" s="51" t="s">
        <v>29</v>
      </c>
      <c r="C22" s="25"/>
      <c r="D22" s="21"/>
      <c r="E22" s="21"/>
      <c r="F22" s="21"/>
      <c r="G22" s="21"/>
      <c r="H22" s="22"/>
    </row>
    <row r="23" spans="1:8" x14ac:dyDescent="0.35">
      <c r="A23" s="23"/>
      <c r="B23" s="52" t="s">
        <v>30</v>
      </c>
      <c r="C23" s="227">
        <f>SROI!C112</f>
        <v>1.0833405973960557</v>
      </c>
      <c r="D23" s="53"/>
      <c r="E23" s="21"/>
      <c r="F23" s="21"/>
      <c r="G23" s="21"/>
      <c r="H23" s="22"/>
    </row>
    <row r="24" spans="1:8" x14ac:dyDescent="0.35">
      <c r="A24" s="23"/>
      <c r="B24" s="52" t="s">
        <v>31</v>
      </c>
      <c r="C24" s="227">
        <f>SROI!C113</f>
        <v>0.93238942814441039</v>
      </c>
      <c r="D24" s="21"/>
      <c r="E24" s="21"/>
      <c r="F24" s="21"/>
      <c r="G24" s="21"/>
      <c r="H24" s="22"/>
    </row>
    <row r="25" spans="1:8" x14ac:dyDescent="0.35">
      <c r="A25" s="50"/>
      <c r="B25" s="45"/>
      <c r="C25" s="25"/>
      <c r="D25" s="21"/>
      <c r="E25" s="21"/>
      <c r="F25" s="21"/>
      <c r="G25" s="21"/>
      <c r="H25" s="22"/>
    </row>
    <row r="26" spans="1:8" x14ac:dyDescent="0.35">
      <c r="A26" s="50"/>
      <c r="B26" s="39" t="s">
        <v>32</v>
      </c>
      <c r="C26" s="37" t="s">
        <v>33</v>
      </c>
      <c r="D26" s="21"/>
      <c r="E26" s="21"/>
      <c r="F26" s="21"/>
      <c r="G26" s="21"/>
      <c r="H26" s="22"/>
    </row>
    <row r="27" spans="1:8" x14ac:dyDescent="0.35">
      <c r="A27" s="50"/>
      <c r="B27" s="39" t="s">
        <v>262</v>
      </c>
      <c r="C27" s="191" t="s">
        <v>78</v>
      </c>
      <c r="D27" s="21"/>
      <c r="E27" s="21"/>
      <c r="F27" s="21"/>
      <c r="G27" s="21"/>
      <c r="H27" s="22"/>
    </row>
    <row r="28" spans="1:8" x14ac:dyDescent="0.35">
      <c r="A28" s="50"/>
      <c r="B28" s="45"/>
      <c r="C28" s="25"/>
      <c r="D28" s="21"/>
      <c r="E28" s="21"/>
      <c r="F28" s="21"/>
      <c r="G28" s="21"/>
      <c r="H28" s="22"/>
    </row>
    <row r="29" spans="1:8" ht="40.5" x14ac:dyDescent="0.35">
      <c r="A29" s="50"/>
      <c r="B29" s="228" t="s">
        <v>249</v>
      </c>
      <c r="C29" s="271" t="s">
        <v>250</v>
      </c>
      <c r="D29" s="21"/>
      <c r="E29" s="21"/>
      <c r="F29" s="21"/>
      <c r="G29" s="21"/>
      <c r="H29" s="22"/>
    </row>
    <row r="30" spans="1:8" x14ac:dyDescent="0.35">
      <c r="A30" s="50"/>
      <c r="B30" s="229" t="s">
        <v>247</v>
      </c>
      <c r="C30" s="230">
        <v>0.1</v>
      </c>
      <c r="D30" s="21"/>
      <c r="E30" s="21"/>
      <c r="F30" s="21"/>
      <c r="G30" s="21"/>
      <c r="H30" s="22"/>
    </row>
    <row r="31" spans="1:8" x14ac:dyDescent="0.35">
      <c r="A31" s="50"/>
      <c r="B31" s="229" t="s">
        <v>248</v>
      </c>
      <c r="C31" s="230">
        <v>1.3</v>
      </c>
      <c r="D31" s="21"/>
      <c r="E31" s="21"/>
      <c r="F31" s="21"/>
      <c r="G31" s="21"/>
      <c r="H31" s="22"/>
    </row>
    <row r="32" spans="1:8" x14ac:dyDescent="0.35">
      <c r="A32" s="50"/>
      <c r="B32" s="45"/>
      <c r="C32" s="25"/>
      <c r="D32" s="21"/>
      <c r="E32" s="21"/>
      <c r="F32" s="21"/>
      <c r="G32" s="21"/>
      <c r="H32" s="22"/>
    </row>
    <row r="33" spans="1:8" ht="18" x14ac:dyDescent="0.4">
      <c r="A33" s="26"/>
      <c r="B33" s="27" t="s">
        <v>263</v>
      </c>
      <c r="C33" s="28"/>
      <c r="D33" s="29"/>
      <c r="E33" s="30"/>
      <c r="F33" s="30"/>
      <c r="G33" s="30"/>
      <c r="H33" s="31"/>
    </row>
    <row r="34" spans="1:8" ht="7.5" customHeight="1" x14ac:dyDescent="0.4">
      <c r="A34" s="47"/>
      <c r="B34" s="33"/>
      <c r="C34" s="34"/>
      <c r="D34" s="35"/>
      <c r="E34" s="21"/>
      <c r="F34" s="21"/>
      <c r="G34" s="21"/>
      <c r="H34" s="22"/>
    </row>
    <row r="35" spans="1:8" ht="29" x14ac:dyDescent="0.35">
      <c r="A35" s="50"/>
      <c r="B35" s="39" t="s">
        <v>34</v>
      </c>
      <c r="C35" s="37" t="s">
        <v>35</v>
      </c>
      <c r="D35" s="21"/>
      <c r="E35" s="21"/>
      <c r="F35" s="21"/>
      <c r="G35" s="21"/>
      <c r="H35" s="22"/>
    </row>
    <row r="36" spans="1:8" x14ac:dyDescent="0.35">
      <c r="A36" s="50"/>
      <c r="B36" s="39" t="s">
        <v>36</v>
      </c>
      <c r="C36" s="37" t="s">
        <v>37</v>
      </c>
      <c r="D36" s="21"/>
      <c r="E36" s="21"/>
      <c r="F36" s="21"/>
      <c r="G36" s="21"/>
      <c r="H36" s="22"/>
    </row>
    <row r="37" spans="1:8" x14ac:dyDescent="0.35">
      <c r="A37" s="50"/>
      <c r="B37" s="39" t="s">
        <v>38</v>
      </c>
      <c r="C37" s="37" t="s">
        <v>39</v>
      </c>
      <c r="D37" s="21"/>
      <c r="E37" s="21"/>
      <c r="F37" s="21"/>
      <c r="G37" s="21"/>
      <c r="H37" s="22"/>
    </row>
    <row r="38" spans="1:8" x14ac:dyDescent="0.35">
      <c r="A38" s="50"/>
      <c r="B38" s="39" t="s">
        <v>40</v>
      </c>
      <c r="C38" s="37" t="s">
        <v>41</v>
      </c>
      <c r="D38" s="21"/>
      <c r="E38" s="21"/>
      <c r="F38" s="21"/>
      <c r="G38" s="21"/>
      <c r="H38" s="22"/>
    </row>
    <row r="39" spans="1:8" x14ac:dyDescent="0.35">
      <c r="A39" s="50"/>
      <c r="B39" s="39"/>
      <c r="C39" s="37" t="s">
        <v>42</v>
      </c>
      <c r="D39" s="21"/>
      <c r="E39" s="21"/>
      <c r="F39" s="21"/>
      <c r="G39" s="21"/>
      <c r="H39" s="22"/>
    </row>
    <row r="40" spans="1:8" ht="30.65" customHeight="1" x14ac:dyDescent="0.35">
      <c r="A40" s="50"/>
      <c r="B40" s="39" t="s">
        <v>43</v>
      </c>
      <c r="C40" s="37" t="s">
        <v>44</v>
      </c>
      <c r="D40" s="21"/>
      <c r="E40" s="21"/>
      <c r="F40" s="21"/>
      <c r="G40" s="21"/>
      <c r="H40" s="22"/>
    </row>
    <row r="41" spans="1:8" x14ac:dyDescent="0.35">
      <c r="A41" s="50"/>
      <c r="B41" s="39" t="s">
        <v>45</v>
      </c>
      <c r="C41" s="37" t="s">
        <v>260</v>
      </c>
      <c r="D41" s="21"/>
      <c r="E41" s="21"/>
      <c r="F41" s="21"/>
      <c r="G41" s="21"/>
      <c r="H41" s="22"/>
    </row>
    <row r="42" spans="1:8" x14ac:dyDescent="0.35">
      <c r="A42" s="23"/>
      <c r="B42" s="24"/>
      <c r="C42" s="25"/>
      <c r="D42" s="21"/>
      <c r="E42" s="21"/>
      <c r="F42" s="21"/>
      <c r="G42" s="21"/>
      <c r="H42" s="22"/>
    </row>
    <row r="43" spans="1:8" ht="18" x14ac:dyDescent="0.4">
      <c r="A43" s="26"/>
      <c r="B43" s="27" t="s">
        <v>46</v>
      </c>
      <c r="C43" s="28"/>
      <c r="D43" s="29"/>
      <c r="E43" s="30"/>
      <c r="F43" s="30"/>
      <c r="G43" s="30"/>
      <c r="H43" s="31"/>
    </row>
    <row r="44" spans="1:8" ht="7.5" customHeight="1" x14ac:dyDescent="0.4">
      <c r="A44" s="47"/>
      <c r="B44" s="33"/>
      <c r="C44" s="34"/>
      <c r="D44" s="35"/>
      <c r="E44" s="21"/>
      <c r="F44" s="21"/>
      <c r="G44" s="21"/>
      <c r="H44" s="22"/>
    </row>
    <row r="45" spans="1:8" ht="18" x14ac:dyDescent="0.4">
      <c r="A45" s="50"/>
      <c r="B45" s="45" t="s">
        <v>47</v>
      </c>
      <c r="C45" s="34"/>
      <c r="D45" s="35"/>
      <c r="E45" s="21"/>
      <c r="F45" s="21"/>
      <c r="G45" s="21"/>
      <c r="H45" s="22"/>
    </row>
    <row r="46" spans="1:8" ht="31.15" customHeight="1" x14ac:dyDescent="0.35">
      <c r="A46" s="50"/>
      <c r="B46" s="39" t="s">
        <v>48</v>
      </c>
      <c r="C46" s="381" t="s">
        <v>49</v>
      </c>
      <c r="D46" s="382"/>
      <c r="E46" s="382"/>
      <c r="F46" s="382"/>
      <c r="G46" s="382"/>
      <c r="H46" s="383"/>
    </row>
    <row r="47" spans="1:8" ht="48" customHeight="1" x14ac:dyDescent="0.35">
      <c r="A47" s="50"/>
      <c r="B47" s="39" t="s">
        <v>50</v>
      </c>
      <c r="C47" s="381" t="s">
        <v>51</v>
      </c>
      <c r="D47" s="382"/>
      <c r="E47" s="382"/>
      <c r="F47" s="382"/>
      <c r="G47" s="382"/>
      <c r="H47" s="383"/>
    </row>
    <row r="48" spans="1:8" ht="34.15" customHeight="1" x14ac:dyDescent="0.35">
      <c r="A48" s="50"/>
      <c r="B48" s="39" t="s">
        <v>52</v>
      </c>
      <c r="C48" s="381" t="s">
        <v>53</v>
      </c>
      <c r="D48" s="382"/>
      <c r="E48" s="382"/>
      <c r="F48" s="382"/>
      <c r="G48" s="382"/>
      <c r="H48" s="383"/>
    </row>
    <row r="49" spans="1:8" x14ac:dyDescent="0.35">
      <c r="A49" s="50"/>
      <c r="B49" s="45"/>
      <c r="C49" s="25"/>
      <c r="D49" s="21"/>
      <c r="E49" s="21"/>
      <c r="F49" s="21"/>
      <c r="G49" s="21"/>
      <c r="H49" s="22"/>
    </row>
    <row r="50" spans="1:8" ht="18" x14ac:dyDescent="0.4">
      <c r="A50" s="26"/>
      <c r="B50" s="27" t="s">
        <v>54</v>
      </c>
      <c r="C50" s="28"/>
      <c r="D50" s="29"/>
      <c r="E50" s="30"/>
      <c r="F50" s="30"/>
      <c r="G50" s="30"/>
      <c r="H50" s="31"/>
    </row>
    <row r="51" spans="1:8" x14ac:dyDescent="0.35">
      <c r="A51" s="50"/>
      <c r="B51" s="45"/>
      <c r="C51" s="25"/>
      <c r="D51" s="21"/>
      <c r="E51" s="21"/>
      <c r="F51" s="21"/>
      <c r="G51" s="21"/>
      <c r="H51" s="22"/>
    </row>
    <row r="52" spans="1:8" x14ac:dyDescent="0.35">
      <c r="A52" s="50"/>
      <c r="B52" s="45"/>
      <c r="C52" s="25"/>
      <c r="D52" s="21"/>
      <c r="E52" s="21"/>
      <c r="F52" s="21"/>
      <c r="G52" s="21"/>
      <c r="H52" s="22"/>
    </row>
    <row r="53" spans="1:8" x14ac:dyDescent="0.35">
      <c r="A53" s="50"/>
      <c r="B53" s="54" t="s">
        <v>55</v>
      </c>
      <c r="C53" s="55">
        <f>SROI!C104</f>
        <v>39.210433663691276</v>
      </c>
      <c r="D53" s="4"/>
      <c r="F53" s="54"/>
      <c r="G53" s="54" t="s">
        <v>56</v>
      </c>
      <c r="H53" s="357" t="s">
        <v>57</v>
      </c>
    </row>
    <row r="54" spans="1:8" x14ac:dyDescent="0.35">
      <c r="A54" s="56"/>
      <c r="B54" s="54" t="s">
        <v>58</v>
      </c>
      <c r="C54" s="55">
        <f>SROI!C105</f>
        <v>70.929463594562591</v>
      </c>
      <c r="D54" s="4"/>
      <c r="F54" s="54" t="s">
        <v>59</v>
      </c>
      <c r="G54" s="55">
        <f>SUM(SROI!E13:N13)</f>
        <v>12.030550874162508</v>
      </c>
      <c r="H54" s="405">
        <f>SUM(SROI!F42:O42)</f>
        <v>7.4132869523024265</v>
      </c>
    </row>
    <row r="55" spans="1:8" x14ac:dyDescent="0.35">
      <c r="A55" s="56"/>
      <c r="B55" s="57" t="s">
        <v>60</v>
      </c>
      <c r="C55" s="55">
        <f>SROI!C106</f>
        <v>54.265041402920204</v>
      </c>
      <c r="D55" s="4"/>
      <c r="F55" s="54" t="s">
        <v>61</v>
      </c>
      <c r="G55" s="55">
        <f>SUM(SROI!E27:N27)</f>
        <v>27.179882789528772</v>
      </c>
      <c r="H55" s="405">
        <f>SUM(SROI!F56:O56)</f>
        <v>63.516176642260163</v>
      </c>
    </row>
    <row r="56" spans="1:8" x14ac:dyDescent="0.35">
      <c r="A56" s="56"/>
      <c r="B56" s="403" t="s">
        <v>298</v>
      </c>
      <c r="C56" s="404">
        <f>SROI!C91</f>
        <v>32.619703128476495</v>
      </c>
      <c r="D56" s="54"/>
      <c r="E56" s="58"/>
      <c r="F56" s="58"/>
      <c r="G56" s="21"/>
      <c r="H56" s="22"/>
    </row>
    <row r="57" spans="1:8" x14ac:dyDescent="0.35">
      <c r="A57" s="50"/>
      <c r="B57" s="403" t="s">
        <v>299</v>
      </c>
      <c r="C57" s="404">
        <f>SROI!C92</f>
        <v>66.445243906230345</v>
      </c>
      <c r="D57" s="21"/>
      <c r="E57" s="21"/>
      <c r="F57" s="21"/>
      <c r="G57" s="21"/>
      <c r="H57" s="22"/>
    </row>
    <row r="58" spans="1:8" x14ac:dyDescent="0.35">
      <c r="A58" s="50"/>
      <c r="B58" s="406" t="s">
        <v>300</v>
      </c>
      <c r="C58" s="55">
        <f>SROI!C93</f>
        <v>48.938601871335983</v>
      </c>
      <c r="D58" s="21"/>
      <c r="E58" s="21"/>
      <c r="F58" s="21"/>
      <c r="G58" s="21"/>
      <c r="H58" s="22"/>
    </row>
    <row r="59" spans="1:8" x14ac:dyDescent="0.35">
      <c r="A59" s="23"/>
      <c r="B59" s="45" t="s">
        <v>62</v>
      </c>
      <c r="C59" s="55">
        <f>SROI!C106-Summary!C58</f>
        <v>5.3264395315842208</v>
      </c>
      <c r="D59" s="21"/>
      <c r="E59" s="21"/>
      <c r="F59" s="21"/>
      <c r="G59" s="21"/>
      <c r="H59" s="22"/>
    </row>
    <row r="60" spans="1:8" x14ac:dyDescent="0.35">
      <c r="A60" s="23"/>
      <c r="B60" s="24"/>
      <c r="C60" s="25"/>
      <c r="D60" s="21"/>
      <c r="E60" s="21"/>
      <c r="F60" s="21"/>
      <c r="G60" s="21"/>
      <c r="H60" s="22"/>
    </row>
    <row r="61" spans="1:8" x14ac:dyDescent="0.35">
      <c r="A61" s="23"/>
      <c r="B61" s="24"/>
      <c r="C61" s="25"/>
      <c r="D61" s="21"/>
      <c r="E61" s="21"/>
      <c r="F61" s="21"/>
      <c r="G61" s="21"/>
      <c r="H61" s="22"/>
    </row>
    <row r="62" spans="1:8" x14ac:dyDescent="0.35">
      <c r="A62" s="23"/>
      <c r="B62" s="24"/>
      <c r="C62" s="25"/>
      <c r="D62" s="21"/>
      <c r="E62" s="21"/>
      <c r="F62" s="21"/>
      <c r="G62" s="21"/>
      <c r="H62" s="22"/>
    </row>
    <row r="63" spans="1:8" x14ac:dyDescent="0.35">
      <c r="A63" s="23"/>
      <c r="B63" s="24"/>
      <c r="C63" s="25"/>
      <c r="D63" s="21"/>
      <c r="E63" s="21"/>
      <c r="F63" s="21"/>
      <c r="G63" s="21"/>
      <c r="H63" s="22"/>
    </row>
    <row r="64" spans="1:8" x14ac:dyDescent="0.35">
      <c r="A64" s="23"/>
      <c r="B64" s="24"/>
      <c r="C64" s="25"/>
      <c r="D64" s="21"/>
      <c r="E64" s="21"/>
      <c r="F64" s="21"/>
      <c r="G64" s="21"/>
      <c r="H64" s="22"/>
    </row>
    <row r="65" spans="1:8" x14ac:dyDescent="0.35">
      <c r="A65" s="23"/>
      <c r="B65" s="24"/>
      <c r="C65" s="25"/>
      <c r="D65" s="21"/>
      <c r="E65" s="21"/>
      <c r="F65" s="21"/>
      <c r="G65" s="21"/>
      <c r="H65" s="22"/>
    </row>
    <row r="66" spans="1:8" x14ac:dyDescent="0.35">
      <c r="A66" s="23"/>
      <c r="B66" s="24"/>
      <c r="C66" s="25"/>
      <c r="D66" s="21"/>
      <c r="E66" s="21"/>
      <c r="F66" s="21"/>
      <c r="G66" s="21"/>
      <c r="H66" s="22"/>
    </row>
    <row r="67" spans="1:8" x14ac:dyDescent="0.35">
      <c r="A67" s="23"/>
      <c r="B67" s="24"/>
      <c r="C67" s="25"/>
      <c r="D67" s="21"/>
      <c r="E67" s="21"/>
      <c r="F67" s="21"/>
      <c r="G67" s="21"/>
      <c r="H67" s="22"/>
    </row>
    <row r="68" spans="1:8" x14ac:dyDescent="0.35">
      <c r="A68" s="23"/>
      <c r="B68" s="24"/>
      <c r="C68" s="25"/>
      <c r="D68" s="21"/>
      <c r="E68" s="21"/>
      <c r="F68" s="21"/>
      <c r="G68" s="21"/>
      <c r="H68" s="22"/>
    </row>
    <row r="69" spans="1:8" x14ac:dyDescent="0.35">
      <c r="A69" s="23"/>
      <c r="B69" s="24"/>
      <c r="C69" s="25"/>
      <c r="D69" s="21"/>
      <c r="E69" s="21"/>
      <c r="F69" s="21"/>
      <c r="G69" s="21"/>
      <c r="H69" s="22"/>
    </row>
    <row r="70" spans="1:8" x14ac:dyDescent="0.35">
      <c r="A70" s="23"/>
      <c r="B70" s="24"/>
      <c r="C70" s="25"/>
      <c r="D70" s="21"/>
      <c r="E70" s="21"/>
      <c r="F70" s="21"/>
      <c r="G70" s="21"/>
      <c r="H70" s="22"/>
    </row>
    <row r="71" spans="1:8" x14ac:dyDescent="0.35">
      <c r="A71" s="23"/>
      <c r="B71" s="24"/>
      <c r="C71" s="25"/>
      <c r="D71" s="21"/>
      <c r="E71" s="21"/>
      <c r="F71" s="21"/>
      <c r="G71" s="21"/>
      <c r="H71" s="22"/>
    </row>
    <row r="72" spans="1:8" ht="18" x14ac:dyDescent="0.4">
      <c r="A72" s="385"/>
      <c r="B72" s="384" t="s">
        <v>63</v>
      </c>
      <c r="C72" s="59" t="s">
        <v>64</v>
      </c>
      <c r="D72" s="55">
        <f>SROI!C88</f>
        <v>806293.82192968193</v>
      </c>
      <c r="E72" s="21"/>
      <c r="F72" s="21"/>
      <c r="G72" s="21"/>
      <c r="H72" s="22"/>
    </row>
    <row r="73" spans="1:8" ht="18" x14ac:dyDescent="0.4">
      <c r="A73" s="385"/>
      <c r="B73" s="384"/>
      <c r="C73" s="59" t="s">
        <v>65</v>
      </c>
      <c r="D73" s="55">
        <f>SROI!C98</f>
        <v>873490.83072605054</v>
      </c>
      <c r="E73" s="21"/>
      <c r="F73" s="21"/>
      <c r="G73" s="21"/>
      <c r="H73" s="22"/>
    </row>
    <row r="74" spans="1:8" ht="18" x14ac:dyDescent="0.4">
      <c r="A74" s="385"/>
      <c r="B74" s="384"/>
      <c r="C74" s="59" t="s">
        <v>66</v>
      </c>
      <c r="D74" s="55">
        <f>SROI!C99</f>
        <v>67197.008796368609</v>
      </c>
      <c r="E74" s="21"/>
      <c r="F74" s="21"/>
      <c r="G74" s="21"/>
      <c r="H74" s="22"/>
    </row>
    <row r="75" spans="1:8" ht="18" x14ac:dyDescent="0.4">
      <c r="A75" s="385"/>
      <c r="B75" s="384" t="s">
        <v>67</v>
      </c>
      <c r="C75" s="59" t="s">
        <v>64</v>
      </c>
      <c r="D75" s="55">
        <f>SROI!C89</f>
        <v>1530964.8648434535</v>
      </c>
      <c r="E75" s="21"/>
      <c r="F75" s="21"/>
      <c r="G75" s="21"/>
      <c r="H75" s="22"/>
    </row>
    <row r="76" spans="1:8" ht="18" x14ac:dyDescent="0.4">
      <c r="A76" s="385"/>
      <c r="B76" s="384"/>
      <c r="C76" s="59" t="s">
        <v>65</v>
      </c>
      <c r="D76" s="55">
        <f>SROI!C100</f>
        <v>1427455.4548405721</v>
      </c>
      <c r="E76" s="21"/>
      <c r="F76" s="21"/>
      <c r="G76" s="21"/>
      <c r="H76" s="22"/>
    </row>
    <row r="77" spans="1:8" ht="18" x14ac:dyDescent="0.4">
      <c r="A77" s="385"/>
      <c r="B77" s="384"/>
      <c r="C77" s="59" t="s">
        <v>66</v>
      </c>
      <c r="D77" s="55">
        <f>SROI!C101</f>
        <v>-103509.41000288143</v>
      </c>
      <c r="E77" s="21"/>
      <c r="F77" s="21"/>
      <c r="G77" s="21"/>
      <c r="H77" s="22"/>
    </row>
    <row r="78" spans="1:8" ht="18" x14ac:dyDescent="0.4">
      <c r="A78" s="385"/>
      <c r="B78" s="384" t="s">
        <v>68</v>
      </c>
      <c r="C78" s="59" t="s">
        <v>64</v>
      </c>
      <c r="D78" s="55">
        <f>SROI!C90</f>
        <v>2337258.6867731353</v>
      </c>
      <c r="E78" s="21"/>
      <c r="F78" s="21"/>
      <c r="G78" s="21"/>
      <c r="H78" s="22"/>
    </row>
    <row r="79" spans="1:8" ht="18" x14ac:dyDescent="0.4">
      <c r="A79" s="385"/>
      <c r="B79" s="384"/>
      <c r="C79" s="59" t="s">
        <v>65</v>
      </c>
      <c r="D79" s="55">
        <f>SROI!C102</f>
        <v>2300946.2855666224</v>
      </c>
      <c r="E79" s="21"/>
      <c r="F79" s="21"/>
      <c r="G79" s="21"/>
      <c r="H79" s="22"/>
    </row>
    <row r="80" spans="1:8" ht="18" x14ac:dyDescent="0.4">
      <c r="A80" s="385"/>
      <c r="B80" s="384"/>
      <c r="C80" s="59" t="s">
        <v>66</v>
      </c>
      <c r="D80" s="55">
        <f>SROI!C103</f>
        <v>-36312.401206512935</v>
      </c>
      <c r="E80" s="21"/>
      <c r="F80" s="21"/>
      <c r="G80" s="21"/>
      <c r="H80" s="22"/>
    </row>
    <row r="81" spans="1:8" x14ac:dyDescent="0.35">
      <c r="A81" s="23"/>
      <c r="B81" s="24"/>
      <c r="C81" s="25"/>
      <c r="D81" s="21"/>
      <c r="E81" s="21"/>
      <c r="F81" s="21"/>
      <c r="G81" s="21"/>
      <c r="H81" s="22"/>
    </row>
    <row r="82" spans="1:8" x14ac:dyDescent="0.35">
      <c r="A82" s="23"/>
      <c r="B82" s="24"/>
      <c r="C82" s="25"/>
      <c r="D82" s="21"/>
      <c r="E82" s="21"/>
      <c r="F82" s="21"/>
      <c r="G82" s="21"/>
      <c r="H82" s="22"/>
    </row>
    <row r="83" spans="1:8" x14ac:dyDescent="0.35">
      <c r="A83" s="23"/>
      <c r="B83" s="24"/>
      <c r="C83" s="25"/>
      <c r="D83" s="21"/>
      <c r="E83" s="21"/>
      <c r="F83" s="21"/>
      <c r="G83" s="21"/>
      <c r="H83" s="22"/>
    </row>
    <row r="84" spans="1:8" x14ac:dyDescent="0.35">
      <c r="A84" s="23"/>
      <c r="B84" s="24"/>
      <c r="C84" s="25"/>
      <c r="D84" s="21"/>
      <c r="E84" s="21"/>
      <c r="F84" s="21"/>
      <c r="G84" s="21"/>
      <c r="H84" s="22"/>
    </row>
    <row r="85" spans="1:8" x14ac:dyDescent="0.35">
      <c r="A85" s="23"/>
      <c r="B85" s="24"/>
      <c r="C85" s="25"/>
      <c r="D85" s="21"/>
      <c r="E85" s="21"/>
      <c r="F85" s="21"/>
      <c r="G85" s="21"/>
      <c r="H85" s="22"/>
    </row>
    <row r="86" spans="1:8" x14ac:dyDescent="0.35">
      <c r="A86" s="23"/>
      <c r="B86" s="24"/>
      <c r="C86" s="25"/>
      <c r="D86" s="21"/>
      <c r="E86" s="21"/>
      <c r="F86" s="21"/>
      <c r="G86" s="21"/>
      <c r="H86" s="22"/>
    </row>
    <row r="87" spans="1:8" x14ac:dyDescent="0.35">
      <c r="A87" s="23"/>
      <c r="B87" s="24"/>
      <c r="C87" s="25"/>
      <c r="D87" s="21"/>
      <c r="E87" s="21"/>
      <c r="F87" s="21"/>
      <c r="G87" s="21"/>
      <c r="H87" s="22"/>
    </row>
    <row r="88" spans="1:8" x14ac:dyDescent="0.35">
      <c r="A88" s="23"/>
      <c r="B88" s="24"/>
      <c r="C88" s="25"/>
      <c r="D88" s="21"/>
      <c r="E88" s="21"/>
      <c r="F88" s="21"/>
      <c r="G88" s="21"/>
      <c r="H88" s="22"/>
    </row>
    <row r="89" spans="1:8" x14ac:dyDescent="0.35">
      <c r="A89" s="23"/>
      <c r="B89" s="24"/>
      <c r="C89" s="25"/>
      <c r="D89" s="21"/>
      <c r="E89" s="21"/>
      <c r="F89" s="21"/>
      <c r="G89" s="21"/>
      <c r="H89" s="22"/>
    </row>
    <row r="90" spans="1:8" x14ac:dyDescent="0.35">
      <c r="A90" s="23"/>
      <c r="B90" s="24"/>
      <c r="C90" s="25"/>
      <c r="D90" s="21"/>
      <c r="E90" s="21"/>
      <c r="F90" s="21"/>
      <c r="G90" s="21"/>
      <c r="H90" s="22"/>
    </row>
    <row r="91" spans="1:8" x14ac:dyDescent="0.35">
      <c r="A91" s="23"/>
      <c r="B91" s="24"/>
      <c r="C91" s="25"/>
      <c r="D91" s="21"/>
      <c r="E91" s="21"/>
      <c r="F91" s="21"/>
      <c r="G91" s="21"/>
      <c r="H91" s="22"/>
    </row>
    <row r="92" spans="1:8" x14ac:dyDescent="0.35">
      <c r="A92" s="23"/>
      <c r="B92" s="24"/>
      <c r="C92" s="25"/>
      <c r="D92" s="21"/>
      <c r="E92" s="21"/>
      <c r="F92" s="21"/>
      <c r="G92" s="21"/>
      <c r="H92" s="22"/>
    </row>
    <row r="93" spans="1:8" x14ac:dyDescent="0.35">
      <c r="A93" s="23"/>
      <c r="B93" s="24"/>
      <c r="C93" s="25"/>
      <c r="D93" s="21"/>
      <c r="E93" s="21"/>
      <c r="F93" s="21"/>
      <c r="G93" s="21"/>
      <c r="H93" s="22"/>
    </row>
    <row r="94" spans="1:8" x14ac:dyDescent="0.35">
      <c r="A94" s="60"/>
      <c r="B94" s="353" t="s">
        <v>283</v>
      </c>
      <c r="C94" s="61"/>
      <c r="D94" s="62"/>
      <c r="E94" s="62"/>
      <c r="F94" s="62"/>
      <c r="G94" s="62"/>
      <c r="H94" s="63"/>
    </row>
  </sheetData>
  <mergeCells count="9">
    <mergeCell ref="C46:H46"/>
    <mergeCell ref="C47:H47"/>
    <mergeCell ref="C48:H48"/>
    <mergeCell ref="B78:B80"/>
    <mergeCell ref="A72:A74"/>
    <mergeCell ref="A75:A77"/>
    <mergeCell ref="A78:A80"/>
    <mergeCell ref="B72:B74"/>
    <mergeCell ref="B75:B77"/>
  </mergeCells>
  <conditionalFormatting sqref="C26 C28:C32">
    <cfRule type="cellIs" dxfId="10" priority="10" operator="equal">
      <formula>"High"</formula>
    </cfRule>
    <cfRule type="cellIs" dxfId="9" priority="11" operator="equal">
      <formula>"Medium"</formula>
    </cfRule>
    <cfRule type="cellIs" dxfId="8" priority="12" operator="equal">
      <formula>"Low"</formula>
    </cfRule>
  </conditionalFormatting>
  <conditionalFormatting sqref="C41">
    <cfRule type="cellIs" dxfId="7" priority="1" operator="equal">
      <formula>"Excellent"</formula>
    </cfRule>
    <cfRule type="cellIs" dxfId="6" priority="2" operator="equal">
      <formula>"Good"</formula>
    </cfRule>
    <cfRule type="cellIs" dxfId="5" priority="3" operator="equal">
      <formula>"Fair"</formula>
    </cfRule>
  </conditionalFormatting>
  <dataValidations count="3">
    <dataValidation type="list" allowBlank="1" showInputMessage="1" showErrorMessage="1" sqref="C32 C26:C28" xr:uid="{B28B5301-5321-4180-8E45-0613F68F873C}">
      <formula1>"Low, Medium, High"</formula1>
    </dataValidation>
    <dataValidation type="list" allowBlank="1" showInputMessage="1" showErrorMessage="1" sqref="C21" xr:uid="{9C3FE7C8-659A-467A-A0D4-DABBDBB9AECF}">
      <formula1>"Forecast, Evaluative"</formula1>
    </dataValidation>
    <dataValidation type="list" allowBlank="1" showInputMessage="1" showErrorMessage="1" sqref="C41" xr:uid="{D7629F9A-0C05-4FA6-8C84-B2470ECB1CAF}">
      <formula1>"Fair,Good, Excellent"</formula1>
    </dataValidation>
  </dataValidations>
  <hyperlinks>
    <hyperlink ref="C7" r:id="rId1" xr:uid="{C057C198-BCDA-42A6-9153-A9D67B0CA020}"/>
    <hyperlink ref="C8" r:id="rId2" xr:uid="{9740BC22-AB2F-4958-98AE-CF0DD4BC77AE}"/>
    <hyperlink ref="D8" r:id="rId3" xr:uid="{2985C82C-D0FB-4DD3-8517-982658F34A5B}"/>
    <hyperlink ref="C27" r:id="rId4" xr:uid="{A07D869D-C1B8-4E0D-8CD9-113C6F19E0EB}"/>
  </hyperlinks>
  <pageMargins left="0.7" right="0.7" top="0.75" bottom="0.75" header="0.3" footer="0.3"/>
  <pageSetup paperSize="9" orientation="portrait" r:id="rId5"/>
  <drawing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D808-38C6-4FDF-951D-683C1DD7B920}">
  <dimension ref="A1:R56"/>
  <sheetViews>
    <sheetView showGridLines="0" workbookViewId="0">
      <selection activeCell="A20" sqref="A20:XFD20"/>
    </sheetView>
  </sheetViews>
  <sheetFormatPr baseColWidth="10" defaultColWidth="9.453125" defaultRowHeight="14.5" x14ac:dyDescent="0.35"/>
  <cols>
    <col min="1" max="1" width="3.54296875" customWidth="1"/>
  </cols>
  <sheetData>
    <row r="1" spans="1:18" ht="18" x14ac:dyDescent="0.4">
      <c r="A1" s="279"/>
      <c r="B1" s="280" t="s">
        <v>265</v>
      </c>
      <c r="C1" s="3"/>
      <c r="D1" s="3"/>
      <c r="E1" s="3"/>
      <c r="F1" s="3"/>
      <c r="G1" s="3"/>
      <c r="H1" s="3"/>
      <c r="I1" s="3"/>
      <c r="J1" s="3"/>
      <c r="K1" s="3"/>
      <c r="L1" s="3"/>
      <c r="M1" s="3"/>
      <c r="N1" s="3"/>
      <c r="O1" s="3"/>
      <c r="P1" s="3"/>
      <c r="Q1" s="3"/>
      <c r="R1" s="236"/>
    </row>
    <row r="2" spans="1:18" ht="18" x14ac:dyDescent="0.4">
      <c r="A2" s="82"/>
      <c r="B2" s="282"/>
      <c r="C2" s="82"/>
      <c r="D2" s="82"/>
      <c r="E2" s="82"/>
      <c r="F2" s="82"/>
      <c r="G2" s="82"/>
      <c r="H2" s="82"/>
      <c r="I2" s="82"/>
      <c r="J2" s="82"/>
      <c r="K2" s="82"/>
      <c r="L2" s="82"/>
      <c r="M2" s="82"/>
      <c r="N2" s="82"/>
      <c r="O2" s="82"/>
      <c r="P2" s="82"/>
      <c r="Q2" s="82"/>
      <c r="R2" s="283"/>
    </row>
    <row r="3" spans="1:18" x14ac:dyDescent="0.35">
      <c r="R3" s="247"/>
    </row>
    <row r="4" spans="1:18" x14ac:dyDescent="0.35">
      <c r="R4" s="247"/>
    </row>
    <row r="5" spans="1:18" x14ac:dyDescent="0.35">
      <c r="R5" s="247"/>
    </row>
    <row r="6" spans="1:18" x14ac:dyDescent="0.35">
      <c r="R6" s="247"/>
    </row>
    <row r="7" spans="1:18" x14ac:dyDescent="0.35">
      <c r="R7" s="247"/>
    </row>
    <row r="8" spans="1:18" x14ac:dyDescent="0.35">
      <c r="R8" s="247"/>
    </row>
    <row r="9" spans="1:18" x14ac:dyDescent="0.35">
      <c r="R9" s="247"/>
    </row>
    <row r="10" spans="1:18" x14ac:dyDescent="0.35">
      <c r="R10" s="247"/>
    </row>
    <row r="11" spans="1:18" x14ac:dyDescent="0.35">
      <c r="R11" s="247"/>
    </row>
    <row r="12" spans="1:18" x14ac:dyDescent="0.35">
      <c r="R12" s="247"/>
    </row>
    <row r="13" spans="1:18" x14ac:dyDescent="0.35">
      <c r="R13" s="247"/>
    </row>
    <row r="14" spans="1:18" x14ac:dyDescent="0.35">
      <c r="R14" s="247"/>
    </row>
    <row r="15" spans="1:18" x14ac:dyDescent="0.35">
      <c r="R15" s="247"/>
    </row>
    <row r="16" spans="1:18" x14ac:dyDescent="0.35">
      <c r="R16" s="247"/>
    </row>
    <row r="17" spans="1:18" x14ac:dyDescent="0.35">
      <c r="R17" s="247"/>
    </row>
    <row r="18" spans="1:18" x14ac:dyDescent="0.35">
      <c r="R18" s="247"/>
    </row>
    <row r="19" spans="1:18" x14ac:dyDescent="0.35">
      <c r="R19" s="247"/>
    </row>
    <row r="20" spans="1:18" ht="18" x14ac:dyDescent="0.4">
      <c r="A20" s="231"/>
      <c r="B20" s="277" t="s">
        <v>266</v>
      </c>
      <c r="C20" s="29"/>
      <c r="D20" s="29"/>
      <c r="E20" s="29"/>
      <c r="F20" s="29"/>
      <c r="G20" s="29"/>
      <c r="H20" s="29"/>
      <c r="I20" s="29"/>
      <c r="J20" s="29"/>
      <c r="K20" s="29"/>
      <c r="L20" s="29"/>
      <c r="M20" s="29"/>
      <c r="N20" s="29"/>
      <c r="O20" s="29"/>
      <c r="P20" s="29"/>
      <c r="Q20" s="29"/>
      <c r="R20" s="278"/>
    </row>
    <row r="21" spans="1:18" x14ac:dyDescent="0.35">
      <c r="R21" s="247"/>
    </row>
    <row r="22" spans="1:18" x14ac:dyDescent="0.35">
      <c r="R22" s="247"/>
    </row>
    <row r="23" spans="1:18" x14ac:dyDescent="0.35">
      <c r="R23" s="247"/>
    </row>
    <row r="24" spans="1:18" x14ac:dyDescent="0.35">
      <c r="R24" s="247"/>
    </row>
    <row r="25" spans="1:18" x14ac:dyDescent="0.35">
      <c r="R25" s="247"/>
    </row>
    <row r="26" spans="1:18" x14ac:dyDescent="0.35">
      <c r="R26" s="247"/>
    </row>
    <row r="27" spans="1:18" x14ac:dyDescent="0.35">
      <c r="R27" s="247"/>
    </row>
    <row r="28" spans="1:18" x14ac:dyDescent="0.35">
      <c r="R28" s="247"/>
    </row>
    <row r="29" spans="1:18" x14ac:dyDescent="0.35">
      <c r="R29" s="247"/>
    </row>
    <row r="30" spans="1:18" x14ac:dyDescent="0.35">
      <c r="R30" s="247"/>
    </row>
    <row r="31" spans="1:18" x14ac:dyDescent="0.35">
      <c r="R31" s="247"/>
    </row>
    <row r="32" spans="1:18" x14ac:dyDescent="0.35">
      <c r="R32" s="247"/>
    </row>
    <row r="33" spans="18:18" x14ac:dyDescent="0.35">
      <c r="R33" s="247"/>
    </row>
    <row r="34" spans="18:18" x14ac:dyDescent="0.35">
      <c r="R34" s="247"/>
    </row>
    <row r="35" spans="18:18" x14ac:dyDescent="0.35">
      <c r="R35" s="247"/>
    </row>
    <row r="36" spans="18:18" x14ac:dyDescent="0.35">
      <c r="R36" s="247"/>
    </row>
    <row r="37" spans="18:18" x14ac:dyDescent="0.35">
      <c r="R37" s="247"/>
    </row>
    <row r="38" spans="18:18" x14ac:dyDescent="0.35">
      <c r="R38" s="247"/>
    </row>
    <row r="39" spans="18:18" x14ac:dyDescent="0.35">
      <c r="R39" s="247"/>
    </row>
    <row r="40" spans="18:18" x14ac:dyDescent="0.35">
      <c r="R40" s="247"/>
    </row>
    <row r="41" spans="18:18" x14ac:dyDescent="0.35">
      <c r="R41" s="247"/>
    </row>
    <row r="42" spans="18:18" x14ac:dyDescent="0.35">
      <c r="R42" s="247"/>
    </row>
    <row r="43" spans="18:18" x14ac:dyDescent="0.35">
      <c r="R43" s="247"/>
    </row>
    <row r="44" spans="18:18" x14ac:dyDescent="0.35">
      <c r="R44" s="247"/>
    </row>
    <row r="45" spans="18:18" x14ac:dyDescent="0.35">
      <c r="R45" s="247"/>
    </row>
    <row r="46" spans="18:18" x14ac:dyDescent="0.35">
      <c r="R46" s="247"/>
    </row>
    <row r="47" spans="18:18" x14ac:dyDescent="0.35">
      <c r="R47" s="247"/>
    </row>
    <row r="48" spans="18:18" x14ac:dyDescent="0.35">
      <c r="R48" s="247"/>
    </row>
    <row r="49" spans="1:18" x14ac:dyDescent="0.35">
      <c r="R49" s="247"/>
    </row>
    <row r="50" spans="1:18" x14ac:dyDescent="0.35">
      <c r="R50" s="247"/>
    </row>
    <row r="51" spans="1:18" x14ac:dyDescent="0.35">
      <c r="R51" s="247"/>
    </row>
    <row r="52" spans="1:18" x14ac:dyDescent="0.35">
      <c r="R52" s="247"/>
    </row>
    <row r="53" spans="1:18" x14ac:dyDescent="0.35">
      <c r="R53" s="247"/>
    </row>
    <row r="54" spans="1:18" x14ac:dyDescent="0.35">
      <c r="R54" s="247"/>
    </row>
    <row r="55" spans="1:18" x14ac:dyDescent="0.35">
      <c r="R55" s="247"/>
    </row>
    <row r="56" spans="1:18" x14ac:dyDescent="0.35">
      <c r="A56" s="260"/>
      <c r="B56" s="260"/>
      <c r="C56" s="260"/>
      <c r="D56" s="260"/>
      <c r="E56" s="260"/>
      <c r="F56" s="260"/>
      <c r="G56" s="260"/>
      <c r="H56" s="260"/>
      <c r="I56" s="260"/>
      <c r="J56" s="260"/>
      <c r="K56" s="260"/>
      <c r="L56" s="260"/>
      <c r="M56" s="260"/>
      <c r="N56" s="260"/>
      <c r="O56" s="260"/>
      <c r="P56" s="260"/>
      <c r="Q56" s="260"/>
      <c r="R56" s="28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AC22-6D6D-463F-92D3-173279A79C1C}">
  <dimension ref="A1:Q318"/>
  <sheetViews>
    <sheetView showGridLines="0" topLeftCell="A63" zoomScaleNormal="100" workbookViewId="0">
      <selection activeCell="C21" sqref="C21"/>
    </sheetView>
  </sheetViews>
  <sheetFormatPr baseColWidth="10" defaultColWidth="9.453125" defaultRowHeight="14.5" x14ac:dyDescent="0.35"/>
  <cols>
    <col min="1" max="1" width="3.26953125" customWidth="1"/>
    <col min="2" max="2" width="51.81640625" style="144" customWidth="1"/>
    <col min="3" max="3" width="17.26953125" style="148" customWidth="1"/>
    <col min="4" max="4" width="14.7265625" style="148" customWidth="1"/>
    <col min="5" max="5" width="18.26953125" style="144" customWidth="1"/>
    <col min="6" max="6" width="14.54296875" style="144" customWidth="1"/>
    <col min="7" max="14" width="13.26953125" style="148" customWidth="1"/>
    <col min="15" max="15" width="25.81640625" customWidth="1"/>
    <col min="16" max="16" width="5.54296875" customWidth="1"/>
    <col min="19" max="19" width="4.54296875" customWidth="1"/>
  </cols>
  <sheetData>
    <row r="1" spans="1:16" ht="6" customHeight="1" x14ac:dyDescent="0.35">
      <c r="A1" s="155"/>
      <c r="B1" s="156"/>
      <c r="C1" s="157"/>
      <c r="D1" s="157"/>
      <c r="E1" s="156"/>
      <c r="F1" s="156"/>
      <c r="G1" s="157"/>
      <c r="H1" s="157"/>
      <c r="I1" s="157"/>
      <c r="J1" s="157"/>
      <c r="K1" s="157"/>
      <c r="L1" s="157"/>
      <c r="M1" s="157"/>
      <c r="N1" s="157"/>
      <c r="O1" s="158"/>
      <c r="P1" s="159"/>
    </row>
    <row r="2" spans="1:16" ht="21" customHeight="1" x14ac:dyDescent="0.4">
      <c r="A2" s="258"/>
      <c r="B2" s="277" t="s">
        <v>270</v>
      </c>
      <c r="C2" s="181"/>
      <c r="D2" s="183"/>
      <c r="E2" s="176"/>
      <c r="F2" s="176"/>
      <c r="G2" s="181"/>
      <c r="H2" s="181"/>
      <c r="I2" s="181"/>
      <c r="J2" s="181"/>
      <c r="K2" s="181"/>
      <c r="L2" s="181"/>
      <c r="M2" s="181"/>
      <c r="N2" s="181"/>
      <c r="O2" s="176"/>
      <c r="P2" s="177"/>
    </row>
    <row r="3" spans="1:16" ht="16.5" customHeight="1" thickBot="1" x14ac:dyDescent="0.4">
      <c r="A3" s="149"/>
      <c r="B3" s="160"/>
      <c r="C3" s="161"/>
      <c r="D3" s="162"/>
      <c r="E3" s="151"/>
      <c r="F3" s="151"/>
      <c r="G3" s="150"/>
      <c r="H3" s="150"/>
      <c r="I3" s="150"/>
      <c r="J3" s="150"/>
      <c r="K3" s="150"/>
      <c r="L3" s="150"/>
      <c r="M3" s="150"/>
      <c r="N3" s="150"/>
      <c r="O3" s="152"/>
      <c r="P3" s="153"/>
    </row>
    <row r="4" spans="1:16" x14ac:dyDescent="0.35">
      <c r="A4" s="149"/>
      <c r="B4" s="216" t="s">
        <v>243</v>
      </c>
      <c r="C4" s="286" t="s">
        <v>156</v>
      </c>
      <c r="D4" s="150"/>
      <c r="E4" s="392" t="s">
        <v>267</v>
      </c>
      <c r="F4" s="392"/>
      <c r="G4" s="392"/>
      <c r="H4" s="392"/>
      <c r="I4" s="392"/>
      <c r="J4" s="392"/>
      <c r="K4" s="150"/>
      <c r="L4" s="150"/>
      <c r="M4" s="150"/>
      <c r="N4" s="150"/>
      <c r="O4" s="152"/>
      <c r="P4" s="153"/>
    </row>
    <row r="5" spans="1:16" ht="15" customHeight="1" x14ac:dyDescent="0.35">
      <c r="A5" s="149"/>
      <c r="B5" s="145" t="s">
        <v>157</v>
      </c>
      <c r="C5" s="287">
        <v>2018</v>
      </c>
      <c r="D5" s="150"/>
      <c r="E5" s="393" t="s">
        <v>268</v>
      </c>
      <c r="F5" s="393"/>
      <c r="G5" s="393"/>
      <c r="H5" s="393"/>
      <c r="I5" s="393"/>
      <c r="J5" s="393"/>
      <c r="K5" s="150"/>
      <c r="L5" s="150"/>
      <c r="M5" s="150"/>
      <c r="N5" s="150"/>
      <c r="O5" s="152"/>
      <c r="P5" s="153"/>
    </row>
    <row r="6" spans="1:16" ht="15" customHeight="1" x14ac:dyDescent="0.35">
      <c r="A6" s="149"/>
      <c r="B6" s="145" t="s">
        <v>158</v>
      </c>
      <c r="C6" s="287">
        <v>2019</v>
      </c>
      <c r="D6" s="150"/>
      <c r="E6" s="394" t="s">
        <v>269</v>
      </c>
      <c r="F6" s="394"/>
      <c r="G6" s="394"/>
      <c r="H6" s="394"/>
      <c r="I6" s="394"/>
      <c r="J6" s="394"/>
      <c r="K6" s="150"/>
      <c r="L6" s="150"/>
      <c r="M6" s="150"/>
      <c r="N6" s="150"/>
      <c r="O6" s="152"/>
      <c r="P6" s="153"/>
    </row>
    <row r="7" spans="1:16" ht="15" customHeight="1" x14ac:dyDescent="0.35">
      <c r="A7" s="149"/>
      <c r="B7" s="145" t="s">
        <v>159</v>
      </c>
      <c r="C7" s="287">
        <v>2021</v>
      </c>
      <c r="D7" s="150"/>
      <c r="E7" s="151"/>
      <c r="F7" s="151"/>
      <c r="G7" s="150"/>
      <c r="H7" s="150"/>
      <c r="I7" s="285"/>
      <c r="J7" s="150"/>
      <c r="K7" s="150"/>
      <c r="L7" s="150"/>
      <c r="M7" s="150"/>
      <c r="N7" s="150"/>
      <c r="O7" s="152"/>
      <c r="P7" s="153"/>
    </row>
    <row r="8" spans="1:16" ht="15" customHeight="1" thickBot="1" x14ac:dyDescent="0.4">
      <c r="A8" s="149"/>
      <c r="B8" s="146" t="s">
        <v>160</v>
      </c>
      <c r="C8" s="288" t="s">
        <v>161</v>
      </c>
      <c r="D8" s="150"/>
      <c r="E8" s="151"/>
      <c r="F8" s="151"/>
      <c r="G8" s="150"/>
      <c r="H8" s="150"/>
      <c r="I8" s="150"/>
      <c r="J8" s="150"/>
      <c r="K8" s="150"/>
      <c r="L8" s="150"/>
      <c r="M8" s="150"/>
      <c r="N8" s="150"/>
      <c r="O8" s="152"/>
      <c r="P8" s="153"/>
    </row>
    <row r="9" spans="1:16" ht="15" customHeight="1" x14ac:dyDescent="0.35">
      <c r="A9" s="154"/>
      <c r="B9" s="151"/>
      <c r="C9" s="150"/>
      <c r="D9" s="150"/>
      <c r="E9" s="151"/>
      <c r="F9" s="151"/>
      <c r="G9" s="150"/>
      <c r="H9" s="150"/>
      <c r="I9" s="150"/>
      <c r="J9" s="150"/>
      <c r="K9" s="150"/>
      <c r="L9" s="150"/>
      <c r="M9" s="150"/>
      <c r="N9" s="150"/>
      <c r="O9" s="152"/>
      <c r="P9" s="153"/>
    </row>
    <row r="10" spans="1:16" ht="21" customHeight="1" x14ac:dyDescent="0.4">
      <c r="A10" s="258"/>
      <c r="B10" s="277" t="s">
        <v>271</v>
      </c>
      <c r="C10" s="182"/>
      <c r="D10" s="182"/>
      <c r="E10" s="178"/>
      <c r="F10" s="178"/>
      <c r="G10" s="182"/>
      <c r="H10" s="182"/>
      <c r="I10" s="182"/>
      <c r="J10" s="182"/>
      <c r="K10" s="182"/>
      <c r="L10" s="182"/>
      <c r="M10" s="182"/>
      <c r="N10" s="182"/>
      <c r="O10" s="178"/>
      <c r="P10" s="179"/>
    </row>
    <row r="11" spans="1:16" s="276" customFormat="1" ht="14.25" customHeight="1" x14ac:dyDescent="0.35"/>
    <row r="12" spans="1:16" ht="15" customHeight="1" x14ac:dyDescent="0.35">
      <c r="B12" s="325" t="s">
        <v>281</v>
      </c>
      <c r="C12" s="325" t="s">
        <v>69</v>
      </c>
      <c r="D12" s="165"/>
      <c r="E12" s="167"/>
      <c r="F12" s="167"/>
      <c r="G12" s="165"/>
      <c r="H12" s="165"/>
      <c r="I12" s="165"/>
      <c r="J12" s="165"/>
      <c r="K12" s="165"/>
      <c r="L12" s="165"/>
      <c r="M12" s="165"/>
      <c r="N12" s="165"/>
      <c r="O12" s="167"/>
      <c r="P12" s="173"/>
    </row>
    <row r="13" spans="1:16" ht="15.75" customHeight="1" x14ac:dyDescent="0.35">
      <c r="A13" s="154"/>
      <c r="B13" s="291" t="s">
        <v>162</v>
      </c>
      <c r="C13" s="295">
        <f>'Sensitivity analysis'!$C$5</f>
        <v>0.1</v>
      </c>
      <c r="D13" s="150"/>
      <c r="E13" s="151"/>
      <c r="F13" s="151"/>
      <c r="G13" s="150"/>
      <c r="H13" s="150"/>
      <c r="I13" s="150"/>
      <c r="J13" s="150"/>
      <c r="K13" s="150"/>
      <c r="L13" s="150"/>
      <c r="M13" s="150"/>
      <c r="N13" s="150"/>
      <c r="O13" s="152"/>
      <c r="P13" s="153"/>
    </row>
    <row r="14" spans="1:16" ht="15.75" customHeight="1" x14ac:dyDescent="0.35">
      <c r="A14" s="152"/>
      <c r="B14" s="185"/>
      <c r="C14" s="185"/>
      <c r="D14" s="150"/>
      <c r="E14" s="151"/>
      <c r="F14" s="151"/>
      <c r="G14" s="150"/>
      <c r="H14" s="150"/>
      <c r="I14" s="150"/>
      <c r="J14" s="150"/>
      <c r="K14" s="150"/>
      <c r="L14" s="150"/>
      <c r="M14" s="150"/>
      <c r="N14" s="150"/>
      <c r="O14" s="152"/>
      <c r="P14" s="153"/>
    </row>
    <row r="15" spans="1:16" ht="15.75" customHeight="1" x14ac:dyDescent="0.35">
      <c r="A15" s="151"/>
      <c r="B15" s="276" t="s">
        <v>276</v>
      </c>
      <c r="C15" s="165"/>
      <c r="D15" s="165"/>
      <c r="E15" s="167"/>
      <c r="F15" s="167"/>
      <c r="G15" s="165"/>
      <c r="H15" s="165"/>
      <c r="I15" s="165"/>
      <c r="J15" s="165"/>
      <c r="K15" s="165"/>
      <c r="L15" s="165"/>
      <c r="M15" s="165"/>
      <c r="N15" s="165"/>
      <c r="O15" s="167"/>
      <c r="P15" s="173"/>
    </row>
    <row r="16" spans="1:16" ht="15" customHeight="1" x14ac:dyDescent="0.35">
      <c r="A16" s="152"/>
      <c r="B16" s="289" t="s">
        <v>206</v>
      </c>
      <c r="C16" s="290" t="s">
        <v>63</v>
      </c>
      <c r="D16" s="290" t="s">
        <v>67</v>
      </c>
      <c r="E16" s="290" t="s">
        <v>213</v>
      </c>
      <c r="F16" s="290" t="s">
        <v>214</v>
      </c>
      <c r="G16" s="150"/>
      <c r="H16" s="150"/>
      <c r="I16" s="150"/>
      <c r="J16" s="150"/>
      <c r="K16" s="150"/>
      <c r="L16" s="150"/>
      <c r="M16" s="150"/>
      <c r="N16" s="150"/>
      <c r="O16" s="152"/>
      <c r="P16" s="153"/>
    </row>
    <row r="17" spans="1:16" ht="15" customHeight="1" x14ac:dyDescent="0.35">
      <c r="A17" s="152"/>
      <c r="B17" s="291" t="s">
        <v>71</v>
      </c>
      <c r="C17" s="294">
        <v>0.3</v>
      </c>
      <c r="D17" s="294">
        <v>0.3</v>
      </c>
      <c r="E17" s="292" t="s">
        <v>192</v>
      </c>
      <c r="F17" s="292" t="s">
        <v>73</v>
      </c>
      <c r="G17" s="150"/>
      <c r="H17" s="150"/>
      <c r="I17" s="150"/>
      <c r="J17" s="150"/>
      <c r="K17" s="150"/>
      <c r="L17" s="150"/>
      <c r="M17" s="150"/>
      <c r="N17" s="150"/>
      <c r="O17" s="152"/>
      <c r="P17" s="153"/>
    </row>
    <row r="18" spans="1:16" ht="15" customHeight="1" x14ac:dyDescent="0.35">
      <c r="A18" s="152"/>
      <c r="B18" s="291" t="s">
        <v>207</v>
      </c>
      <c r="C18" s="294">
        <v>492</v>
      </c>
      <c r="D18" s="294">
        <v>403</v>
      </c>
      <c r="E18" s="292" t="s">
        <v>192</v>
      </c>
      <c r="F18" s="292" t="s">
        <v>73</v>
      </c>
      <c r="G18" s="150"/>
      <c r="H18" s="150"/>
      <c r="I18" s="150"/>
      <c r="J18" s="150"/>
      <c r="K18" s="150"/>
      <c r="L18" s="150"/>
      <c r="M18" s="150"/>
      <c r="N18" s="150"/>
      <c r="O18" s="152"/>
      <c r="P18" s="153"/>
    </row>
    <row r="19" spans="1:16" ht="15" customHeight="1" x14ac:dyDescent="0.35">
      <c r="A19" s="152"/>
      <c r="B19" s="291" t="s">
        <v>76</v>
      </c>
      <c r="C19" s="294">
        <v>1517</v>
      </c>
      <c r="D19" s="294">
        <v>1166</v>
      </c>
      <c r="E19" s="292" t="s">
        <v>192</v>
      </c>
      <c r="F19" s="292" t="s">
        <v>73</v>
      </c>
      <c r="G19" s="150"/>
      <c r="H19" s="150"/>
      <c r="I19" s="150"/>
      <c r="J19" s="150"/>
      <c r="K19" s="150"/>
      <c r="L19" s="150"/>
      <c r="M19" s="150"/>
      <c r="N19" s="150"/>
      <c r="O19" s="152"/>
      <c r="P19" s="153"/>
    </row>
    <row r="20" spans="1:16" ht="15" customHeight="1" x14ac:dyDescent="0.35">
      <c r="A20" s="152"/>
      <c r="B20" s="291" t="s">
        <v>193</v>
      </c>
      <c r="C20" s="294">
        <v>1147</v>
      </c>
      <c r="D20" s="294">
        <v>1038</v>
      </c>
      <c r="E20" s="292" t="s">
        <v>215</v>
      </c>
      <c r="F20" s="292" t="s">
        <v>196</v>
      </c>
      <c r="G20" s="150"/>
      <c r="H20" s="150"/>
      <c r="I20" s="150"/>
      <c r="J20" s="150"/>
      <c r="K20" s="150"/>
      <c r="L20" s="150"/>
      <c r="M20" s="150"/>
      <c r="N20" s="150"/>
      <c r="O20" s="152"/>
      <c r="P20" s="153"/>
    </row>
    <row r="21" spans="1:16" ht="15" customHeight="1" x14ac:dyDescent="0.35">
      <c r="A21" s="152"/>
      <c r="B21" s="291" t="s">
        <v>79</v>
      </c>
      <c r="C21" s="294">
        <v>494</v>
      </c>
      <c r="D21" s="294">
        <v>299</v>
      </c>
      <c r="E21" s="292" t="s">
        <v>194</v>
      </c>
      <c r="F21" s="292" t="s">
        <v>196</v>
      </c>
      <c r="G21" s="150"/>
      <c r="H21" s="150"/>
      <c r="I21" s="150"/>
      <c r="J21" s="150"/>
      <c r="K21" s="150"/>
      <c r="L21" s="150"/>
      <c r="M21" s="150"/>
      <c r="N21" s="150"/>
      <c r="O21" s="152"/>
      <c r="P21" s="153"/>
    </row>
    <row r="22" spans="1:16" ht="15" customHeight="1" x14ac:dyDescent="0.35">
      <c r="A22" s="152"/>
      <c r="B22" s="291" t="s">
        <v>81</v>
      </c>
      <c r="C22" s="295">
        <v>0.04</v>
      </c>
      <c r="D22" s="295">
        <v>0.19</v>
      </c>
      <c r="E22" s="292" t="s">
        <v>199</v>
      </c>
      <c r="F22" s="292" t="s">
        <v>197</v>
      </c>
      <c r="G22" s="150"/>
      <c r="H22" s="150"/>
      <c r="I22" s="150"/>
      <c r="J22" s="150"/>
      <c r="K22" s="150"/>
      <c r="L22" s="150"/>
      <c r="M22" s="150"/>
      <c r="N22" s="150"/>
      <c r="O22" s="152"/>
      <c r="P22" s="153"/>
    </row>
    <row r="23" spans="1:16" ht="15" customHeight="1" x14ac:dyDescent="0.35">
      <c r="A23" s="152"/>
      <c r="B23" s="291" t="s">
        <v>82</v>
      </c>
      <c r="C23" s="294">
        <v>3.3</v>
      </c>
      <c r="D23" s="294">
        <v>3</v>
      </c>
      <c r="E23" s="293" t="s">
        <v>195</v>
      </c>
      <c r="F23" s="293" t="s">
        <v>83</v>
      </c>
      <c r="G23" s="150"/>
      <c r="H23" s="150"/>
      <c r="I23" s="150"/>
      <c r="J23" s="150"/>
      <c r="K23" s="150"/>
      <c r="L23" s="150"/>
      <c r="M23" s="150"/>
      <c r="N23" s="150"/>
      <c r="O23" s="152"/>
      <c r="P23" s="153"/>
    </row>
    <row r="24" spans="1:16" ht="15" customHeight="1" x14ac:dyDescent="0.35">
      <c r="A24" s="152"/>
      <c r="B24" s="291" t="s">
        <v>84</v>
      </c>
      <c r="C24" s="295">
        <v>0.05</v>
      </c>
      <c r="D24" s="295">
        <v>0.25</v>
      </c>
      <c r="E24" s="292" t="s">
        <v>198</v>
      </c>
      <c r="F24" s="292" t="s">
        <v>197</v>
      </c>
      <c r="G24" s="150"/>
      <c r="H24" s="150"/>
      <c r="I24" s="150"/>
      <c r="J24" s="150"/>
      <c r="K24" s="150"/>
      <c r="L24" s="150"/>
      <c r="M24" s="150"/>
      <c r="N24" s="150"/>
      <c r="O24" s="152"/>
      <c r="P24" s="153"/>
    </row>
    <row r="25" spans="1:16" ht="15" customHeight="1" x14ac:dyDescent="0.35">
      <c r="A25" s="152"/>
      <c r="B25" s="291" t="s">
        <v>85</v>
      </c>
      <c r="C25" s="295">
        <v>0.04</v>
      </c>
      <c r="D25" s="295">
        <v>0.04</v>
      </c>
      <c r="E25" s="293" t="s">
        <v>200</v>
      </c>
      <c r="F25" s="293" t="s">
        <v>200</v>
      </c>
      <c r="G25" s="150"/>
      <c r="H25" s="150"/>
      <c r="I25" s="150"/>
      <c r="J25" s="150"/>
      <c r="K25" s="150"/>
      <c r="L25" s="150"/>
      <c r="M25" s="150"/>
      <c r="N25" s="150"/>
      <c r="O25" s="152"/>
      <c r="P25" s="153"/>
    </row>
    <row r="26" spans="1:16" ht="15" customHeight="1" x14ac:dyDescent="0.35">
      <c r="A26" s="152"/>
      <c r="B26" s="291" t="s">
        <v>86</v>
      </c>
      <c r="C26" s="295">
        <v>0.01</v>
      </c>
      <c r="D26" s="295">
        <v>0.01</v>
      </c>
      <c r="E26" s="293" t="s">
        <v>200</v>
      </c>
      <c r="F26" s="293" t="s">
        <v>200</v>
      </c>
      <c r="G26" s="150"/>
      <c r="H26" s="150"/>
      <c r="I26" s="150"/>
      <c r="J26" s="150"/>
      <c r="K26" s="150"/>
      <c r="L26" s="150"/>
      <c r="M26" s="150"/>
      <c r="N26" s="150"/>
      <c r="O26" s="152"/>
      <c r="P26" s="153"/>
    </row>
    <row r="27" spans="1:16" ht="14.25" customHeight="1" x14ac:dyDescent="0.35">
      <c r="A27" s="152"/>
      <c r="B27" s="151"/>
      <c r="C27" s="150"/>
      <c r="D27" s="150"/>
      <c r="E27" s="151"/>
      <c r="F27" s="151"/>
      <c r="G27" s="150"/>
      <c r="H27" s="150"/>
      <c r="I27" s="150"/>
      <c r="J27" s="150"/>
      <c r="K27" s="150"/>
      <c r="L27" s="150"/>
      <c r="M27" s="150"/>
      <c r="N27" s="150"/>
      <c r="O27" s="152"/>
      <c r="P27" s="153"/>
    </row>
    <row r="28" spans="1:16" ht="15" customHeight="1" x14ac:dyDescent="0.35">
      <c r="A28" s="152"/>
      <c r="B28" s="296" t="s">
        <v>218</v>
      </c>
      <c r="C28" s="296"/>
      <c r="D28" s="296"/>
      <c r="E28" s="296" t="s">
        <v>70</v>
      </c>
      <c r="F28" s="151"/>
      <c r="G28" s="150"/>
      <c r="H28" s="150"/>
      <c r="I28" s="150"/>
      <c r="J28" s="150"/>
      <c r="K28" s="150"/>
      <c r="L28" s="150"/>
      <c r="M28" s="150"/>
      <c r="N28" s="150"/>
      <c r="O28" s="152"/>
      <c r="P28" s="153"/>
    </row>
    <row r="29" spans="1:16" ht="15" customHeight="1" x14ac:dyDescent="0.35">
      <c r="A29" s="152"/>
      <c r="B29" s="291" t="s">
        <v>163</v>
      </c>
      <c r="C29" s="391">
        <v>50</v>
      </c>
      <c r="D29" s="391"/>
      <c r="E29" s="390" t="s">
        <v>257</v>
      </c>
      <c r="F29" s="151"/>
      <c r="G29" s="150"/>
      <c r="H29" s="150"/>
      <c r="I29" s="150"/>
      <c r="J29" s="150"/>
      <c r="K29" s="150"/>
      <c r="L29" s="150"/>
      <c r="M29" s="150"/>
      <c r="N29" s="150"/>
      <c r="O29" s="152"/>
      <c r="P29" s="153"/>
    </row>
    <row r="30" spans="1:16" ht="15" customHeight="1" x14ac:dyDescent="0.35">
      <c r="A30" s="152"/>
      <c r="B30" s="291" t="s">
        <v>164</v>
      </c>
      <c r="C30" s="391">
        <v>15</v>
      </c>
      <c r="D30" s="391"/>
      <c r="E30" s="390"/>
      <c r="F30" s="151"/>
      <c r="G30" s="150"/>
      <c r="H30" s="150"/>
      <c r="I30" s="150"/>
      <c r="J30" s="150"/>
      <c r="K30" s="150"/>
      <c r="L30" s="150"/>
      <c r="M30" s="150"/>
      <c r="N30" s="150"/>
      <c r="O30" s="152"/>
      <c r="P30" s="153"/>
    </row>
    <row r="31" spans="1:16" ht="15" customHeight="1" x14ac:dyDescent="0.35">
      <c r="A31" s="152"/>
      <c r="B31" s="291" t="s">
        <v>165</v>
      </c>
      <c r="C31" s="391">
        <v>1</v>
      </c>
      <c r="D31" s="391"/>
      <c r="E31" s="390"/>
      <c r="F31" s="151"/>
      <c r="G31" s="150"/>
      <c r="H31" s="150"/>
      <c r="I31" s="150"/>
      <c r="J31" s="150"/>
      <c r="K31" s="150"/>
      <c r="L31" s="150"/>
      <c r="M31" s="150"/>
      <c r="N31" s="150"/>
      <c r="O31" s="152"/>
      <c r="P31" s="153"/>
    </row>
    <row r="32" spans="1:16" ht="15" customHeight="1" x14ac:dyDescent="0.35">
      <c r="A32" s="152"/>
      <c r="B32" s="291" t="s">
        <v>208</v>
      </c>
      <c r="C32" s="386">
        <f>5/3000</f>
        <v>1.6666666666666668E-3</v>
      </c>
      <c r="D32" s="386"/>
      <c r="E32" s="390"/>
      <c r="F32" s="151"/>
      <c r="G32" s="150"/>
      <c r="H32" s="150"/>
      <c r="I32" s="150"/>
      <c r="J32" s="150"/>
      <c r="K32" s="150"/>
      <c r="L32" s="150"/>
      <c r="M32" s="150"/>
      <c r="N32" s="150"/>
      <c r="O32" s="152"/>
      <c r="P32" s="153"/>
    </row>
    <row r="33" spans="1:16" ht="15" customHeight="1" x14ac:dyDescent="0.35">
      <c r="A33" s="152"/>
      <c r="B33" s="291" t="s">
        <v>209</v>
      </c>
      <c r="C33" s="386">
        <f>10/3000</f>
        <v>3.3333333333333335E-3</v>
      </c>
      <c r="D33" s="386"/>
      <c r="E33" s="390"/>
      <c r="F33" s="151"/>
      <c r="G33" s="150"/>
      <c r="H33" s="150"/>
      <c r="I33" s="150"/>
      <c r="J33" s="150"/>
      <c r="K33" s="150"/>
      <c r="L33" s="150"/>
      <c r="M33" s="150"/>
      <c r="N33" s="150"/>
      <c r="O33" s="152"/>
      <c r="P33" s="153"/>
    </row>
    <row r="34" spans="1:16" ht="15" customHeight="1" x14ac:dyDescent="0.35">
      <c r="A34" s="152"/>
      <c r="B34" s="291" t="s">
        <v>166</v>
      </c>
      <c r="C34" s="387">
        <v>0.01</v>
      </c>
      <c r="D34" s="387"/>
      <c r="E34" s="293" t="s">
        <v>167</v>
      </c>
      <c r="F34" s="151"/>
      <c r="G34" s="150"/>
      <c r="H34" s="150"/>
      <c r="I34" s="150"/>
      <c r="J34" s="150"/>
      <c r="K34" s="150"/>
      <c r="L34" s="150"/>
      <c r="M34" s="150"/>
      <c r="N34" s="150"/>
      <c r="O34" s="152"/>
      <c r="P34" s="153"/>
    </row>
    <row r="35" spans="1:16" ht="6" customHeight="1" x14ac:dyDescent="0.35">
      <c r="A35" s="152"/>
      <c r="B35" s="151"/>
      <c r="C35" s="150"/>
      <c r="D35" s="150"/>
      <c r="E35" s="151"/>
      <c r="F35" s="151"/>
      <c r="G35" s="150"/>
      <c r="H35" s="150"/>
      <c r="I35" s="150"/>
      <c r="J35" s="150"/>
      <c r="K35" s="150"/>
      <c r="L35" s="150"/>
      <c r="M35" s="150"/>
      <c r="N35" s="150"/>
      <c r="O35" s="152"/>
      <c r="P35" s="153"/>
    </row>
    <row r="36" spans="1:16" ht="15" customHeight="1" x14ac:dyDescent="0.35">
      <c r="A36" s="164"/>
      <c r="B36" s="167"/>
      <c r="C36" s="174"/>
      <c r="D36" s="165"/>
      <c r="E36" s="167"/>
      <c r="F36" s="167"/>
      <c r="G36" s="165"/>
      <c r="H36" s="165"/>
      <c r="I36" s="165"/>
      <c r="J36" s="165"/>
      <c r="K36" s="165"/>
      <c r="L36" s="165"/>
      <c r="M36" s="165"/>
      <c r="N36" s="165"/>
      <c r="O36" s="164"/>
      <c r="P36" s="166"/>
    </row>
    <row r="37" spans="1:16" ht="15" customHeight="1" x14ac:dyDescent="0.35">
      <c r="A37" s="152"/>
      <c r="B37" s="298" t="s">
        <v>174</v>
      </c>
      <c r="C37" s="388">
        <f>'Sensitivity analysis'!$C$6</f>
        <v>0.1</v>
      </c>
      <c r="D37" s="388"/>
      <c r="E37" s="299"/>
      <c r="F37" s="151"/>
      <c r="G37" s="150"/>
      <c r="H37" s="150"/>
      <c r="I37" s="150"/>
      <c r="J37" s="150"/>
      <c r="K37" s="150"/>
      <c r="L37" s="150"/>
      <c r="M37" s="150"/>
      <c r="N37" s="150"/>
      <c r="O37" s="152"/>
      <c r="P37" s="153"/>
    </row>
    <row r="38" spans="1:16" ht="15" customHeight="1" x14ac:dyDescent="0.35">
      <c r="A38" s="164"/>
      <c r="B38" s="300" t="s">
        <v>179</v>
      </c>
      <c r="C38" s="389">
        <f>'Sensitivity analysis'!C9</f>
        <v>-7.0000000000000007E-2</v>
      </c>
      <c r="D38" s="389"/>
      <c r="E38" s="301" t="s">
        <v>180</v>
      </c>
      <c r="F38" s="167"/>
      <c r="G38" s="165"/>
      <c r="H38" s="165"/>
      <c r="I38" s="165"/>
      <c r="J38" s="165"/>
      <c r="K38" s="165"/>
      <c r="L38" s="165"/>
      <c r="M38" s="165"/>
      <c r="N38" s="165"/>
      <c r="O38" s="164"/>
      <c r="P38" s="172"/>
    </row>
    <row r="39" spans="1:16" ht="14.5" customHeight="1" x14ac:dyDescent="0.35">
      <c r="A39" s="152"/>
      <c r="B39" s="151"/>
      <c r="C39" s="150"/>
      <c r="D39" s="150"/>
      <c r="E39" s="151"/>
      <c r="F39" s="151"/>
      <c r="G39" s="150"/>
      <c r="H39" s="150"/>
      <c r="I39" s="150"/>
      <c r="J39" s="150"/>
      <c r="K39" s="150"/>
      <c r="L39" s="150"/>
      <c r="M39" s="150"/>
      <c r="N39" s="150"/>
      <c r="O39" s="152"/>
      <c r="P39" s="153"/>
    </row>
    <row r="40" spans="1:16" ht="15" customHeight="1" x14ac:dyDescent="0.35">
      <c r="A40" s="164"/>
      <c r="B40" s="276" t="s">
        <v>272</v>
      </c>
      <c r="C40" s="165"/>
      <c r="D40" s="165"/>
      <c r="E40" s="167"/>
      <c r="F40" s="167"/>
      <c r="G40" s="165"/>
      <c r="H40" s="165"/>
      <c r="I40" s="165"/>
      <c r="J40" s="165"/>
      <c r="K40" s="165"/>
      <c r="L40" s="165"/>
      <c r="M40" s="165"/>
      <c r="N40" s="165"/>
      <c r="O40" s="164"/>
      <c r="P40" s="166"/>
    </row>
    <row r="41" spans="1:16" ht="30" customHeight="1" x14ac:dyDescent="0.35">
      <c r="A41" s="152"/>
      <c r="B41" s="296" t="s">
        <v>87</v>
      </c>
      <c r="C41" s="304" t="s">
        <v>273</v>
      </c>
      <c r="D41" s="296" t="s">
        <v>175</v>
      </c>
      <c r="E41" s="296" t="s">
        <v>98</v>
      </c>
      <c r="F41" s="296" t="s">
        <v>100</v>
      </c>
      <c r="G41" s="296" t="s">
        <v>102</v>
      </c>
      <c r="H41" s="296" t="s">
        <v>104</v>
      </c>
      <c r="I41" s="296" t="s">
        <v>106</v>
      </c>
      <c r="J41" s="296" t="s">
        <v>109</v>
      </c>
      <c r="K41" s="296" t="s">
        <v>111</v>
      </c>
      <c r="L41" s="296" t="s">
        <v>70</v>
      </c>
      <c r="M41" s="150"/>
      <c r="N41" s="150"/>
      <c r="O41" s="152"/>
      <c r="P41" s="153"/>
    </row>
    <row r="42" spans="1:16" ht="15" customHeight="1" x14ac:dyDescent="0.35">
      <c r="A42" s="152"/>
      <c r="B42" s="291" t="s">
        <v>176</v>
      </c>
      <c r="C42" s="305">
        <v>0</v>
      </c>
      <c r="D42" s="305">
        <f>0.7*'Sensitivity analysis'!C8</f>
        <v>0.7</v>
      </c>
      <c r="E42" s="305">
        <f>2.6*'Sensitivity analysis'!C8</f>
        <v>2.6</v>
      </c>
      <c r="F42" s="305">
        <f>3.3*'Sensitivity analysis'!C8</f>
        <v>3.3</v>
      </c>
      <c r="G42" s="305">
        <f>2.8*'Sensitivity analysis'!C8</f>
        <v>2.8</v>
      </c>
      <c r="H42" s="305">
        <f>2.6*'Sensitivity analysis'!C8</f>
        <v>2.6</v>
      </c>
      <c r="I42" s="305">
        <f>2.5*'Sensitivity analysis'!C8</f>
        <v>2.5</v>
      </c>
      <c r="J42" s="305">
        <f>2.4*'Sensitivity analysis'!C8</f>
        <v>2.4</v>
      </c>
      <c r="K42" s="305">
        <f>2.2*'Sensitivity analysis'!C8</f>
        <v>2.2000000000000002</v>
      </c>
      <c r="L42" s="398" t="s">
        <v>258</v>
      </c>
      <c r="M42" s="150"/>
      <c r="N42" s="150"/>
      <c r="O42" s="152"/>
      <c r="P42" s="153"/>
    </row>
    <row r="43" spans="1:16" ht="15" customHeight="1" x14ac:dyDescent="0.35">
      <c r="A43" s="152"/>
      <c r="B43" s="291" t="s">
        <v>177</v>
      </c>
      <c r="C43" s="305">
        <v>1.1000000000000001</v>
      </c>
      <c r="D43" s="305">
        <v>1.1000000000000001</v>
      </c>
      <c r="E43" s="305">
        <v>0.9</v>
      </c>
      <c r="F43" s="305">
        <v>1.3</v>
      </c>
      <c r="G43" s="305">
        <v>1</v>
      </c>
      <c r="H43" s="305">
        <v>1.3</v>
      </c>
      <c r="I43" s="305">
        <v>1.6</v>
      </c>
      <c r="J43" s="305">
        <v>1.6</v>
      </c>
      <c r="K43" s="305">
        <v>1.1000000000000001</v>
      </c>
      <c r="L43" s="398"/>
      <c r="M43" s="150"/>
      <c r="N43" s="150"/>
      <c r="O43" s="152"/>
      <c r="P43" s="153"/>
    </row>
    <row r="44" spans="1:16" ht="15" customHeight="1" x14ac:dyDescent="0.35">
      <c r="A44" s="152"/>
      <c r="B44" s="291" t="s">
        <v>178</v>
      </c>
      <c r="C44" s="302">
        <f>(C42-C43)*'Sensitivity analysis'!$C$8</f>
        <v>-1.1000000000000001</v>
      </c>
      <c r="D44" s="302">
        <f>(D42-D43)*'Sensitivity analysis'!$C$8</f>
        <v>-0.40000000000000013</v>
      </c>
      <c r="E44" s="302">
        <f>(E42-E43)*'Sensitivity analysis'!$C$8</f>
        <v>1.7000000000000002</v>
      </c>
      <c r="F44" s="302">
        <f>(F42-F43)*'Sensitivity analysis'!$C$8</f>
        <v>1.9999999999999998</v>
      </c>
      <c r="G44" s="302">
        <f>(G42-G43)*'Sensitivity analysis'!$C$8</f>
        <v>1.7999999999999998</v>
      </c>
      <c r="H44" s="302">
        <f>(H42-H43)*'Sensitivity analysis'!$C$8</f>
        <v>1.3</v>
      </c>
      <c r="I44" s="302">
        <f>(I42-I43)*'Sensitivity analysis'!$C$8</f>
        <v>0.89999999999999991</v>
      </c>
      <c r="J44" s="302">
        <f>(J42-J43)*'Sensitivity analysis'!$C$8</f>
        <v>0.79999999999999982</v>
      </c>
      <c r="K44" s="302">
        <f>(K42-K43)*'Sensitivity analysis'!$C$8</f>
        <v>1.1000000000000001</v>
      </c>
      <c r="L44" s="398"/>
      <c r="M44" s="150"/>
      <c r="N44" s="150"/>
      <c r="O44" s="152"/>
      <c r="P44" s="153"/>
    </row>
    <row r="45" spans="1:16" ht="15" customHeight="1" x14ac:dyDescent="0.35">
      <c r="A45" s="152"/>
      <c r="B45" s="291" t="s">
        <v>240</v>
      </c>
      <c r="C45" s="303">
        <f>C44/C43</f>
        <v>-1</v>
      </c>
      <c r="D45" s="303">
        <f t="shared" ref="D45:K45" si="0">D44/D43</f>
        <v>-0.3636363636363637</v>
      </c>
      <c r="E45" s="303">
        <f t="shared" si="0"/>
        <v>1.8888888888888891</v>
      </c>
      <c r="F45" s="303">
        <f t="shared" si="0"/>
        <v>1.5384615384615383</v>
      </c>
      <c r="G45" s="303">
        <f t="shared" si="0"/>
        <v>1.7999999999999998</v>
      </c>
      <c r="H45" s="303">
        <f t="shared" si="0"/>
        <v>1</v>
      </c>
      <c r="I45" s="303">
        <f t="shared" si="0"/>
        <v>0.56249999999999989</v>
      </c>
      <c r="J45" s="303">
        <f t="shared" si="0"/>
        <v>0.49999999999999989</v>
      </c>
      <c r="K45" s="303">
        <f t="shared" si="0"/>
        <v>1</v>
      </c>
      <c r="L45" s="398"/>
      <c r="M45" s="150"/>
      <c r="N45" s="150"/>
      <c r="O45" s="152"/>
      <c r="P45" s="153"/>
    </row>
    <row r="46" spans="1:16" ht="6" customHeight="1" x14ac:dyDescent="0.35">
      <c r="A46" s="152"/>
      <c r="B46" s="151"/>
      <c r="C46" s="150"/>
      <c r="D46" s="150"/>
      <c r="E46" s="151"/>
      <c r="F46" s="151"/>
      <c r="G46" s="150"/>
      <c r="H46" s="150"/>
      <c r="I46" s="150"/>
      <c r="J46" s="150"/>
      <c r="K46" s="150"/>
      <c r="L46" s="150"/>
      <c r="M46" s="150"/>
      <c r="N46" s="150"/>
      <c r="O46" s="152"/>
      <c r="P46" s="153"/>
    </row>
    <row r="47" spans="1:16" ht="6" customHeight="1" x14ac:dyDescent="0.35">
      <c r="A47" s="152"/>
      <c r="B47" s="151"/>
      <c r="C47" s="150"/>
      <c r="D47" s="150"/>
      <c r="E47" s="151"/>
      <c r="F47" s="151"/>
      <c r="G47" s="150"/>
      <c r="H47" s="150"/>
      <c r="I47" s="150"/>
      <c r="J47" s="150"/>
      <c r="K47" s="150"/>
      <c r="L47" s="150"/>
      <c r="M47" s="150"/>
      <c r="N47" s="150"/>
      <c r="O47" s="152"/>
      <c r="P47" s="153"/>
    </row>
    <row r="48" spans="1:16" ht="15" customHeight="1" x14ac:dyDescent="0.35">
      <c r="A48" s="164"/>
      <c r="B48" s="276" t="s">
        <v>264</v>
      </c>
      <c r="C48" s="165"/>
      <c r="D48" s="165"/>
      <c r="E48" s="167"/>
      <c r="F48" s="167"/>
      <c r="G48" s="165"/>
      <c r="H48" s="165"/>
      <c r="I48" s="165"/>
      <c r="J48" s="165"/>
      <c r="K48" s="165"/>
      <c r="L48" s="165"/>
      <c r="M48" s="165"/>
      <c r="N48" s="165"/>
      <c r="O48" s="175"/>
      <c r="P48" s="166"/>
    </row>
    <row r="49" spans="1:16" ht="15" customHeight="1" x14ac:dyDescent="0.35">
      <c r="A49" s="152"/>
      <c r="B49" s="296" t="s">
        <v>87</v>
      </c>
      <c r="C49" s="296">
        <v>2018</v>
      </c>
      <c r="D49" s="296">
        <v>2019</v>
      </c>
      <c r="E49" s="296">
        <v>2020</v>
      </c>
      <c r="F49" s="296">
        <v>2021</v>
      </c>
      <c r="G49" s="296">
        <v>2022</v>
      </c>
      <c r="H49" s="296">
        <v>2023</v>
      </c>
      <c r="I49" s="296">
        <v>2024</v>
      </c>
      <c r="J49" s="296">
        <v>2025</v>
      </c>
      <c r="K49" s="296">
        <v>2026</v>
      </c>
      <c r="L49" s="296">
        <v>2027</v>
      </c>
      <c r="M49" s="296">
        <v>2028</v>
      </c>
      <c r="N49" s="296">
        <v>2029</v>
      </c>
      <c r="O49" s="395" t="s">
        <v>169</v>
      </c>
      <c r="P49" s="396"/>
    </row>
    <row r="50" spans="1:16" ht="15" customHeight="1" x14ac:dyDescent="0.35">
      <c r="A50" s="152"/>
      <c r="B50" s="308" t="s">
        <v>181</v>
      </c>
      <c r="C50" s="297">
        <v>8</v>
      </c>
      <c r="D50" s="297">
        <v>15</v>
      </c>
      <c r="E50" s="297">
        <v>19</v>
      </c>
      <c r="F50" s="309">
        <f>AVERAGE(E50,G50)</f>
        <v>34.5</v>
      </c>
      <c r="G50" s="297">
        <v>50</v>
      </c>
      <c r="H50" s="297">
        <v>31</v>
      </c>
      <c r="I50" s="306">
        <f>AVERAGE($D$50:$H$50)*(1+'Sensitivity analysis'!C7)</f>
        <v>29.9</v>
      </c>
      <c r="J50" s="306">
        <f>AVERAGE($D$50:$H$50)*(1+'Sensitivity analysis'!C7)</f>
        <v>29.9</v>
      </c>
      <c r="K50" s="306">
        <f>AVERAGE($D$50:$H$50)*(1+'Sensitivity analysis'!C7)</f>
        <v>29.9</v>
      </c>
      <c r="L50" s="306">
        <f>AVERAGE($D$50:$H$50)*(1+'Sensitivity analysis'!C7)</f>
        <v>29.9</v>
      </c>
      <c r="M50" s="306">
        <f>AVERAGE($D$50:$H$50)*(1+'Sensitivity analysis'!C7)</f>
        <v>29.9</v>
      </c>
      <c r="N50" s="306">
        <f>AVERAGE($D$50:$H$50)*(1+'Sensitivity analysis'!C7)</f>
        <v>29.9</v>
      </c>
      <c r="O50" s="399" t="s">
        <v>182</v>
      </c>
      <c r="P50" s="399"/>
    </row>
    <row r="51" spans="1:16" ht="15" customHeight="1" x14ac:dyDescent="0.35">
      <c r="A51" s="152"/>
      <c r="B51" s="291" t="s">
        <v>183</v>
      </c>
      <c r="C51" s="307">
        <f>C50/(D$79/D$79)</f>
        <v>8</v>
      </c>
      <c r="D51" s="307">
        <f>D50/(E$79/$D$79)</f>
        <v>13.373339003611317</v>
      </c>
      <c r="E51" s="307">
        <f>E50/(F$79/$D$79)</f>
        <v>14.326008513849745</v>
      </c>
      <c r="F51" s="306">
        <f>F50/(G$79/$D$79)</f>
        <v>21.487079398629529</v>
      </c>
      <c r="G51" s="307">
        <f>G50/(H$79/$D$79)</f>
        <v>23.352677788815523</v>
      </c>
      <c r="H51" s="307">
        <f>H50/(I$79/$D$79)</f>
        <v>10.952305044382499</v>
      </c>
      <c r="I51" s="306">
        <f>AVERAGE($D$51:$H$51)*(1+'Sensitivity analysis'!C7)</f>
        <v>16.698281949857723</v>
      </c>
      <c r="J51" s="306">
        <f>AVERAGE($D$51:$H$51)*(1+'Sensitivity analysis'!C7)</f>
        <v>16.698281949857723</v>
      </c>
      <c r="K51" s="306">
        <f>AVERAGE($D$51:$H$51)*(1+'Sensitivity analysis'!C7)</f>
        <v>16.698281949857723</v>
      </c>
      <c r="L51" s="306">
        <f>AVERAGE($D$51:$H$51)*(1+'Sensitivity analysis'!C7)</f>
        <v>16.698281949857723</v>
      </c>
      <c r="M51" s="306">
        <f>AVERAGE($D$51:$H$51)*(1+'Sensitivity analysis'!C7)</f>
        <v>16.698281949857723</v>
      </c>
      <c r="N51" s="306">
        <f>AVERAGE($D$51:$H$51)*(1+'Sensitivity analysis'!C7)</f>
        <v>16.698281949857723</v>
      </c>
      <c r="O51" s="399"/>
      <c r="P51" s="399"/>
    </row>
    <row r="52" spans="1:16" ht="15" customHeight="1" x14ac:dyDescent="0.35">
      <c r="A52" s="152"/>
      <c r="B52" s="291" t="s">
        <v>184</v>
      </c>
      <c r="C52" s="307">
        <f>C50/(D79/$E$79)</f>
        <v>8.973076953152491</v>
      </c>
      <c r="D52" s="307">
        <f>D50</f>
        <v>15</v>
      </c>
      <c r="E52" s="307">
        <f>E50/(F$79/$E$79)</f>
        <v>16.068547103286438</v>
      </c>
      <c r="F52" s="306">
        <f>F50/(G$79/$E$79)</f>
        <v>24.100652117800038</v>
      </c>
      <c r="G52" s="307">
        <f>G50/(H$79/$E$79)</f>
        <v>26.193171857652075</v>
      </c>
      <c r="H52" s="307">
        <f>H50/(I$79/$E$79)</f>
        <v>12.284484497205545</v>
      </c>
      <c r="I52" s="306">
        <f>AVERAGE($D$52:$H$52)*(1+'Sensitivity analysis'!C7)</f>
        <v>18.729371115188819</v>
      </c>
      <c r="J52" s="306">
        <f>AVERAGE($D$52:$H$52)*(1+'Sensitivity analysis'!C7)</f>
        <v>18.729371115188819</v>
      </c>
      <c r="K52" s="306">
        <f>AVERAGE($D$52:$H$52)*(1+'Sensitivity analysis'!C7)</f>
        <v>18.729371115188819</v>
      </c>
      <c r="L52" s="306">
        <f>AVERAGE($D$52:$H$52)*(1+'Sensitivity analysis'!C7)</f>
        <v>18.729371115188819</v>
      </c>
      <c r="M52" s="306">
        <f>AVERAGE($D$52:$H$52)*(1+'Sensitivity analysis'!C7)</f>
        <v>18.729371115188819</v>
      </c>
      <c r="N52" s="306">
        <f>AVERAGE($D$52:$H$52)*(1+'Sensitivity analysis'!C7)</f>
        <v>18.729371115188819</v>
      </c>
      <c r="O52" s="399"/>
      <c r="P52" s="399"/>
    </row>
    <row r="53" spans="1:16" ht="6" customHeight="1" x14ac:dyDescent="0.35">
      <c r="A53" s="152"/>
      <c r="B53" s="151"/>
      <c r="C53" s="150"/>
      <c r="D53" s="150"/>
      <c r="E53" s="151"/>
      <c r="F53" s="151"/>
      <c r="G53" s="150"/>
      <c r="H53" s="150"/>
      <c r="I53" s="150"/>
      <c r="J53" s="150"/>
      <c r="K53" s="150"/>
      <c r="L53" s="150"/>
      <c r="M53" s="150"/>
      <c r="N53" s="150"/>
      <c r="O53" s="152"/>
      <c r="P53" s="163"/>
    </row>
    <row r="54" spans="1:16" ht="6" customHeight="1" x14ac:dyDescent="0.35">
      <c r="A54" s="152"/>
      <c r="B54" s="151"/>
      <c r="C54" s="150"/>
      <c r="D54" s="150"/>
      <c r="E54" s="151"/>
      <c r="F54" s="151"/>
      <c r="G54" s="150"/>
      <c r="H54" s="150"/>
      <c r="I54" s="150"/>
      <c r="J54" s="150"/>
      <c r="K54" s="150"/>
      <c r="L54" s="150"/>
      <c r="M54" s="150"/>
      <c r="N54" s="150"/>
      <c r="O54" s="152"/>
      <c r="P54" s="163"/>
    </row>
    <row r="55" spans="1:16" ht="15" customHeight="1" x14ac:dyDescent="0.35">
      <c r="A55" s="164"/>
      <c r="B55" s="167" t="s">
        <v>231</v>
      </c>
      <c r="C55" s="186"/>
      <c r="D55" s="165"/>
      <c r="E55" s="167"/>
      <c r="F55" s="167"/>
      <c r="G55" s="165"/>
      <c r="H55" s="165"/>
      <c r="I55" s="165"/>
      <c r="J55" s="165"/>
      <c r="K55" s="165"/>
      <c r="L55" s="165"/>
      <c r="M55" s="165"/>
      <c r="N55" s="165"/>
      <c r="O55" s="164"/>
      <c r="P55" s="166"/>
    </row>
    <row r="56" spans="1:16" ht="15" customHeight="1" x14ac:dyDescent="0.35">
      <c r="A56" s="152"/>
      <c r="B56" s="296" t="s">
        <v>87</v>
      </c>
      <c r="C56" s="296">
        <v>2018</v>
      </c>
      <c r="D56" s="296">
        <v>2019</v>
      </c>
      <c r="E56" s="296">
        <v>2020</v>
      </c>
      <c r="F56" s="296">
        <v>2021</v>
      </c>
      <c r="G56" s="296">
        <v>2022</v>
      </c>
      <c r="H56" s="296">
        <v>2023</v>
      </c>
      <c r="I56" s="296">
        <v>2024</v>
      </c>
      <c r="J56" s="296">
        <v>2025</v>
      </c>
      <c r="K56" s="296">
        <v>2026</v>
      </c>
      <c r="L56" s="296">
        <v>2027</v>
      </c>
      <c r="M56" s="296">
        <v>2028</v>
      </c>
      <c r="N56" s="296">
        <v>2029</v>
      </c>
      <c r="O56" s="395" t="s">
        <v>169</v>
      </c>
      <c r="P56" s="396"/>
    </row>
    <row r="57" spans="1:16" ht="15" customHeight="1" x14ac:dyDescent="0.35">
      <c r="A57" s="152"/>
      <c r="B57" s="298" t="s">
        <v>170</v>
      </c>
      <c r="C57" s="310">
        <v>38</v>
      </c>
      <c r="D57" s="310">
        <v>47</v>
      </c>
      <c r="E57" s="310">
        <v>60</v>
      </c>
      <c r="F57" s="311">
        <f>AVERAGE(E57,G57)</f>
        <v>76.5</v>
      </c>
      <c r="G57" s="310">
        <v>93</v>
      </c>
      <c r="H57" s="312">
        <f t="shared" ref="H57:N57" si="1">AVERAGE($C$57:$G$57)</f>
        <v>62.9</v>
      </c>
      <c r="I57" s="311">
        <f t="shared" si="1"/>
        <v>62.9</v>
      </c>
      <c r="J57" s="311">
        <f t="shared" si="1"/>
        <v>62.9</v>
      </c>
      <c r="K57" s="311">
        <f t="shared" si="1"/>
        <v>62.9</v>
      </c>
      <c r="L57" s="311">
        <f t="shared" si="1"/>
        <v>62.9</v>
      </c>
      <c r="M57" s="311">
        <f t="shared" si="1"/>
        <v>62.9</v>
      </c>
      <c r="N57" s="311">
        <f t="shared" si="1"/>
        <v>62.9</v>
      </c>
      <c r="O57" s="397" t="s">
        <v>171</v>
      </c>
      <c r="P57" s="397"/>
    </row>
    <row r="58" spans="1:16" ht="15" customHeight="1" x14ac:dyDescent="0.35">
      <c r="A58" s="152"/>
      <c r="B58" s="298" t="s">
        <v>172</v>
      </c>
      <c r="C58" s="312">
        <f>C57</f>
        <v>38</v>
      </c>
      <c r="D58" s="312">
        <f>D57/(E$79/$D$79)</f>
        <v>41.903128877982127</v>
      </c>
      <c r="E58" s="312">
        <f>E57/(F$79/$D$79)</f>
        <v>45.240026885841303</v>
      </c>
      <c r="F58" s="311">
        <f>F57/(G$79/$D$79)</f>
        <v>47.645263014352437</v>
      </c>
      <c r="G58" s="312">
        <f>G57/(H$79/$D$79)</f>
        <v>43.435980687196867</v>
      </c>
      <c r="H58" s="312">
        <f t="shared" ref="H58:N58" si="2">AVERAGE($C$58:$G$58)</f>
        <v>43.244879893074547</v>
      </c>
      <c r="I58" s="311">
        <f t="shared" si="2"/>
        <v>43.244879893074547</v>
      </c>
      <c r="J58" s="311">
        <f t="shared" si="2"/>
        <v>43.244879893074547</v>
      </c>
      <c r="K58" s="311">
        <f t="shared" si="2"/>
        <v>43.244879893074547</v>
      </c>
      <c r="L58" s="311">
        <f t="shared" si="2"/>
        <v>43.244879893074547</v>
      </c>
      <c r="M58" s="311">
        <f t="shared" si="2"/>
        <v>43.244879893074547</v>
      </c>
      <c r="N58" s="311">
        <f t="shared" si="2"/>
        <v>43.244879893074547</v>
      </c>
      <c r="O58" s="397"/>
      <c r="P58" s="397"/>
    </row>
    <row r="59" spans="1:16" ht="15" customHeight="1" x14ac:dyDescent="0.35">
      <c r="A59" s="152"/>
      <c r="B59" s="298" t="s">
        <v>173</v>
      </c>
      <c r="C59" s="312">
        <f>C57/(D79/$E$79)</f>
        <v>42.622115527474328</v>
      </c>
      <c r="D59" s="312">
        <f>D57</f>
        <v>47</v>
      </c>
      <c r="E59" s="312">
        <f>E57/(F$79/$E$79)</f>
        <v>50.742780326167697</v>
      </c>
      <c r="F59" s="311">
        <f>F57/(G79/$E$79)</f>
        <v>53.440576435121827</v>
      </c>
      <c r="G59" s="312">
        <f>G57/(H79/$E$79)</f>
        <v>48.719299655232859</v>
      </c>
      <c r="H59" s="312">
        <f t="shared" ref="H59:N59" si="3">AVERAGE($C$59:$G$59)</f>
        <v>48.504954388799341</v>
      </c>
      <c r="I59" s="311">
        <f t="shared" si="3"/>
        <v>48.504954388799341</v>
      </c>
      <c r="J59" s="311">
        <f t="shared" si="3"/>
        <v>48.504954388799341</v>
      </c>
      <c r="K59" s="311">
        <f t="shared" si="3"/>
        <v>48.504954388799341</v>
      </c>
      <c r="L59" s="311">
        <f t="shared" si="3"/>
        <v>48.504954388799341</v>
      </c>
      <c r="M59" s="311">
        <f t="shared" si="3"/>
        <v>48.504954388799341</v>
      </c>
      <c r="N59" s="311">
        <f t="shared" si="3"/>
        <v>48.504954388799341</v>
      </c>
      <c r="O59" s="397"/>
      <c r="P59" s="397"/>
    </row>
    <row r="60" spans="1:16" ht="5.5" customHeight="1" x14ac:dyDescent="0.35">
      <c r="A60" s="152"/>
      <c r="B60" s="185"/>
      <c r="C60" s="187"/>
      <c r="D60" s="187"/>
      <c r="E60" s="188"/>
      <c r="F60" s="188"/>
      <c r="G60" s="187"/>
      <c r="H60" s="187"/>
      <c r="I60" s="187"/>
      <c r="J60" s="187"/>
      <c r="K60" s="187"/>
      <c r="L60" s="187"/>
      <c r="M60" s="187"/>
      <c r="N60" s="187"/>
      <c r="O60" s="152"/>
      <c r="P60" s="153"/>
    </row>
    <row r="61" spans="1:16" ht="6" customHeight="1" x14ac:dyDescent="0.35">
      <c r="A61" s="152"/>
      <c r="B61" s="151"/>
      <c r="C61" s="150"/>
      <c r="D61" s="150"/>
      <c r="E61" s="151"/>
      <c r="F61" s="151"/>
      <c r="G61" s="150"/>
      <c r="H61" s="150"/>
      <c r="I61" s="150"/>
      <c r="J61" s="150"/>
      <c r="K61" s="150"/>
      <c r="L61" s="150"/>
      <c r="M61" s="150"/>
      <c r="N61" s="150"/>
      <c r="O61" s="152"/>
      <c r="P61" s="153"/>
    </row>
    <row r="62" spans="1:16" ht="15" customHeight="1" x14ac:dyDescent="0.35">
      <c r="A62" s="152"/>
      <c r="B62" s="313" t="s">
        <v>168</v>
      </c>
      <c r="C62" s="297">
        <v>52</v>
      </c>
      <c r="D62" s="150"/>
      <c r="E62" s="151"/>
      <c r="F62" s="151"/>
      <c r="G62" s="150"/>
      <c r="H62" s="150"/>
      <c r="I62" s="150"/>
      <c r="J62" s="150"/>
      <c r="K62" s="150"/>
      <c r="L62" s="150"/>
      <c r="M62" s="150"/>
      <c r="N62" s="150"/>
      <c r="O62" s="152"/>
      <c r="P62" s="153"/>
    </row>
    <row r="63" spans="1:16" ht="15" customHeight="1" x14ac:dyDescent="0.35">
      <c r="A63" s="164"/>
      <c r="B63" s="313" t="s">
        <v>227</v>
      </c>
      <c r="C63" s="318">
        <v>52588</v>
      </c>
      <c r="D63" s="192" t="s">
        <v>219</v>
      </c>
      <c r="E63" s="184"/>
      <c r="F63" s="167"/>
      <c r="G63" s="165"/>
      <c r="H63" s="165"/>
      <c r="I63" s="165"/>
      <c r="J63" s="165"/>
      <c r="K63" s="165"/>
      <c r="L63" s="165"/>
      <c r="M63" s="165"/>
      <c r="N63" s="165"/>
      <c r="O63" s="164"/>
      <c r="P63" s="166"/>
    </row>
    <row r="64" spans="1:16" ht="15" customHeight="1" x14ac:dyDescent="0.35">
      <c r="A64" s="152"/>
      <c r="B64" s="185"/>
      <c r="C64" s="150"/>
      <c r="D64" s="150"/>
      <c r="E64" s="151"/>
      <c r="F64" s="151"/>
      <c r="G64" s="150"/>
      <c r="H64" s="150"/>
      <c r="I64" s="150"/>
      <c r="J64" s="150"/>
      <c r="K64" s="150"/>
      <c r="L64" s="150"/>
      <c r="M64" s="150"/>
      <c r="N64" s="150"/>
      <c r="O64" s="152"/>
      <c r="P64" s="153"/>
    </row>
    <row r="65" spans="1:17" ht="18" customHeight="1" x14ac:dyDescent="0.35">
      <c r="A65" s="152"/>
      <c r="B65" s="167" t="s">
        <v>275</v>
      </c>
      <c r="C65" s="150"/>
      <c r="D65" s="150"/>
      <c r="E65" s="151"/>
      <c r="F65" s="151"/>
      <c r="G65" s="150"/>
      <c r="H65" s="150"/>
      <c r="I65" s="150"/>
      <c r="J65" s="150"/>
      <c r="K65" s="150"/>
      <c r="L65" s="150"/>
      <c r="M65" s="150"/>
      <c r="N65" s="150"/>
      <c r="O65" s="152"/>
      <c r="P65" s="153"/>
    </row>
    <row r="66" spans="1:17" ht="15" customHeight="1" x14ac:dyDescent="0.35">
      <c r="A66" s="152"/>
      <c r="B66" s="296" t="s">
        <v>210</v>
      </c>
      <c r="C66" s="296" t="s">
        <v>63</v>
      </c>
      <c r="D66" s="296" t="s">
        <v>67</v>
      </c>
      <c r="E66" s="296" t="s">
        <v>68</v>
      </c>
      <c r="F66" s="296" t="s">
        <v>70</v>
      </c>
      <c r="G66" s="150"/>
      <c r="H66" s="150"/>
      <c r="I66" s="150"/>
      <c r="J66" s="150"/>
      <c r="K66" s="150"/>
      <c r="L66" s="150"/>
      <c r="M66" s="150"/>
      <c r="N66" s="150"/>
      <c r="O66" s="152"/>
      <c r="P66" s="153"/>
    </row>
    <row r="67" spans="1:17" ht="15" customHeight="1" x14ac:dyDescent="0.35">
      <c r="A67" s="152"/>
      <c r="B67" s="298" t="s">
        <v>74</v>
      </c>
      <c r="C67" s="317">
        <v>22500</v>
      </c>
      <c r="D67" s="317">
        <v>27500</v>
      </c>
      <c r="E67" s="314">
        <f>C67+D67</f>
        <v>50000</v>
      </c>
      <c r="F67" s="315" t="s">
        <v>216</v>
      </c>
      <c r="G67" s="150"/>
      <c r="H67" s="150"/>
      <c r="I67" s="150"/>
      <c r="J67" s="150"/>
      <c r="K67" s="150"/>
      <c r="L67" s="150"/>
      <c r="M67" s="150"/>
      <c r="N67" s="150"/>
      <c r="O67" s="152"/>
      <c r="P67" s="153"/>
    </row>
    <row r="68" spans="1:17" ht="15" customHeight="1" x14ac:dyDescent="0.35">
      <c r="A68" s="152"/>
      <c r="B68" s="298" t="s">
        <v>75</v>
      </c>
      <c r="C68" s="317">
        <v>33441</v>
      </c>
      <c r="D68" s="317">
        <v>26414</v>
      </c>
      <c r="E68" s="314">
        <f>C68+D68</f>
        <v>59855</v>
      </c>
      <c r="F68" s="316" t="s">
        <v>72</v>
      </c>
      <c r="G68" s="150"/>
      <c r="H68" s="150"/>
      <c r="I68" s="150"/>
      <c r="J68" s="150"/>
      <c r="K68" s="150"/>
      <c r="L68" s="150"/>
      <c r="M68" s="150"/>
      <c r="N68" s="150"/>
      <c r="O68" s="152"/>
      <c r="P68" s="153"/>
    </row>
    <row r="69" spans="1:17" ht="15" customHeight="1" x14ac:dyDescent="0.35">
      <c r="A69" s="152"/>
      <c r="B69" s="298" t="s">
        <v>77</v>
      </c>
      <c r="C69" s="317">
        <v>24718</v>
      </c>
      <c r="D69" s="317">
        <v>23041</v>
      </c>
      <c r="E69" s="314">
        <f>C69+D69</f>
        <v>47759</v>
      </c>
      <c r="F69" s="316" t="s">
        <v>78</v>
      </c>
      <c r="G69" s="150"/>
      <c r="H69" s="150"/>
      <c r="I69" s="150"/>
      <c r="J69" s="150"/>
      <c r="K69" s="150"/>
      <c r="L69" s="150"/>
      <c r="M69" s="150"/>
      <c r="N69" s="150"/>
      <c r="O69" s="152"/>
      <c r="P69" s="153"/>
    </row>
    <row r="70" spans="1:17" ht="15" customHeight="1" x14ac:dyDescent="0.35">
      <c r="A70" s="152"/>
      <c r="B70" s="298" t="s">
        <v>211</v>
      </c>
      <c r="C70" s="317">
        <v>21388</v>
      </c>
      <c r="D70" s="317">
        <v>19390</v>
      </c>
      <c r="E70" s="314">
        <f>C70+D70</f>
        <v>40778</v>
      </c>
      <c r="F70" s="315"/>
      <c r="G70" s="150"/>
      <c r="H70" s="150"/>
      <c r="I70" s="150"/>
      <c r="J70" s="150"/>
      <c r="K70" s="150"/>
      <c r="L70" s="150"/>
      <c r="M70" s="150"/>
      <c r="N70" s="150"/>
      <c r="O70" s="152"/>
      <c r="P70" s="153"/>
    </row>
    <row r="71" spans="1:17" ht="15" customHeight="1" x14ac:dyDescent="0.35">
      <c r="A71" s="152"/>
      <c r="B71" s="298" t="s">
        <v>212</v>
      </c>
      <c r="C71" s="317">
        <v>22277</v>
      </c>
      <c r="D71" s="317">
        <v>20125</v>
      </c>
      <c r="E71" s="314">
        <v>42402</v>
      </c>
      <c r="F71" s="315" t="s">
        <v>80</v>
      </c>
      <c r="G71" s="150"/>
      <c r="H71" s="150"/>
      <c r="I71" s="150"/>
      <c r="J71" s="150"/>
      <c r="K71" s="150"/>
      <c r="L71" s="150"/>
      <c r="M71" s="150"/>
      <c r="N71" s="150"/>
      <c r="O71" s="152"/>
      <c r="P71" s="153"/>
    </row>
    <row r="72" spans="1:17" ht="6.65" customHeight="1" x14ac:dyDescent="0.35">
      <c r="A72" s="152"/>
      <c r="B72" s="185"/>
      <c r="C72" s="189"/>
      <c r="D72" s="189"/>
      <c r="E72" s="190"/>
      <c r="F72" s="184"/>
      <c r="G72" s="150"/>
      <c r="H72" s="150"/>
      <c r="I72" s="150"/>
      <c r="J72" s="150"/>
      <c r="K72" s="150"/>
      <c r="L72" s="150"/>
      <c r="M72" s="150"/>
      <c r="N72" s="150"/>
      <c r="O72" s="152"/>
      <c r="P72" s="153"/>
    </row>
    <row r="73" spans="1:17" ht="8.5" customHeight="1" x14ac:dyDescent="0.35">
      <c r="A73" s="152"/>
      <c r="B73" s="185"/>
      <c r="C73" s="189"/>
      <c r="D73" s="189"/>
      <c r="E73" s="190"/>
      <c r="F73" s="184"/>
      <c r="G73" s="150"/>
      <c r="H73" s="150"/>
      <c r="I73" s="150"/>
      <c r="J73" s="150"/>
      <c r="K73" s="150"/>
      <c r="L73" s="150"/>
      <c r="M73" s="150"/>
      <c r="N73" s="150"/>
      <c r="O73" s="152"/>
      <c r="P73" s="153"/>
    </row>
    <row r="74" spans="1:17" ht="22.5" customHeight="1" x14ac:dyDescent="0.4">
      <c r="A74" s="258"/>
      <c r="B74" s="277" t="s">
        <v>274</v>
      </c>
      <c r="C74" s="29"/>
      <c r="D74" s="29"/>
      <c r="E74" s="29"/>
      <c r="F74" s="29"/>
      <c r="G74" s="29"/>
      <c r="H74" s="29"/>
      <c r="I74" s="29"/>
      <c r="J74" s="29"/>
      <c r="K74" s="29"/>
      <c r="L74" s="29"/>
      <c r="M74" s="29"/>
      <c r="N74" s="29"/>
      <c r="O74" s="29"/>
      <c r="P74" s="29"/>
      <c r="Q74" s="278"/>
    </row>
    <row r="75" spans="1:17" ht="12" customHeight="1" x14ac:dyDescent="0.35">
      <c r="A75" s="152"/>
      <c r="B75" s="185"/>
      <c r="C75" s="189"/>
      <c r="D75" s="189"/>
      <c r="E75" s="190"/>
      <c r="F75" s="184"/>
      <c r="G75" s="150"/>
      <c r="H75" s="150"/>
      <c r="I75" s="150"/>
      <c r="J75" s="150"/>
      <c r="K75" s="150"/>
      <c r="L75" s="150"/>
      <c r="M75" s="150"/>
      <c r="N75" s="150"/>
      <c r="O75" s="152"/>
      <c r="P75" s="153"/>
    </row>
    <row r="76" spans="1:17" ht="17.25" customHeight="1" x14ac:dyDescent="0.35">
      <c r="A76" s="154"/>
      <c r="B76" s="167" t="s">
        <v>277</v>
      </c>
      <c r="C76" s="150"/>
      <c r="D76" s="150"/>
      <c r="E76" s="151"/>
      <c r="F76" s="151"/>
      <c r="G76" s="150"/>
      <c r="H76" s="150"/>
      <c r="I76" s="150"/>
      <c r="J76" s="150"/>
      <c r="K76" s="150"/>
      <c r="L76" s="150"/>
      <c r="M76" s="150"/>
      <c r="N76" s="150"/>
      <c r="O76" s="152"/>
      <c r="P76" s="153"/>
    </row>
    <row r="77" spans="1:17" ht="15" customHeight="1" x14ac:dyDescent="0.35">
      <c r="A77" s="154"/>
      <c r="B77" s="296" t="s">
        <v>87</v>
      </c>
      <c r="C77" s="296">
        <v>2017</v>
      </c>
      <c r="D77" s="296">
        <v>2018</v>
      </c>
      <c r="E77" s="296">
        <v>2019</v>
      </c>
      <c r="F77" s="296">
        <v>2020</v>
      </c>
      <c r="G77" s="296">
        <v>2021</v>
      </c>
      <c r="H77" s="296">
        <v>2022</v>
      </c>
      <c r="I77" s="296">
        <v>2023</v>
      </c>
      <c r="J77" s="296" t="s">
        <v>169</v>
      </c>
      <c r="L77" s="150"/>
      <c r="M77" s="150"/>
      <c r="N77" s="150"/>
      <c r="O77" s="152"/>
      <c r="P77" s="153"/>
    </row>
    <row r="78" spans="1:17" ht="15" customHeight="1" x14ac:dyDescent="0.35">
      <c r="A78" s="154"/>
      <c r="B78" s="319" t="s">
        <v>278</v>
      </c>
      <c r="C78" s="322">
        <v>1</v>
      </c>
      <c r="D78" s="322">
        <v>102.291</v>
      </c>
      <c r="E78" s="322">
        <v>103.979</v>
      </c>
      <c r="F78" s="322">
        <v>105.361</v>
      </c>
      <c r="G78" s="322">
        <v>110.172</v>
      </c>
      <c r="H78" s="322">
        <v>118.026</v>
      </c>
      <c r="I78" s="322">
        <v>122.274</v>
      </c>
      <c r="J78" s="292" t="s">
        <v>185</v>
      </c>
      <c r="L78" s="150"/>
      <c r="M78" s="150"/>
      <c r="N78" s="150"/>
      <c r="O78" s="152"/>
      <c r="P78" s="153"/>
    </row>
    <row r="79" spans="1:17" ht="15" customHeight="1" x14ac:dyDescent="0.35">
      <c r="A79" s="154"/>
      <c r="B79" s="319" t="s">
        <v>279</v>
      </c>
      <c r="C79" s="322">
        <v>114.73699999999999</v>
      </c>
      <c r="D79" s="322">
        <v>127.883</v>
      </c>
      <c r="E79" s="322">
        <v>143.43799999999999</v>
      </c>
      <c r="F79" s="322">
        <v>169.60599999999999</v>
      </c>
      <c r="G79" s="322">
        <v>205.33099999999999</v>
      </c>
      <c r="H79" s="322">
        <v>273.80799999999999</v>
      </c>
      <c r="I79" s="322">
        <v>361.96699999999998</v>
      </c>
      <c r="J79" s="321"/>
      <c r="L79" s="150"/>
      <c r="M79" s="150"/>
      <c r="N79" s="150"/>
      <c r="O79" s="152"/>
      <c r="P79" s="153"/>
    </row>
    <row r="80" spans="1:17" ht="6" customHeight="1" x14ac:dyDescent="0.35">
      <c r="A80" s="154"/>
      <c r="B80" s="151"/>
      <c r="C80" s="150"/>
      <c r="D80" s="150"/>
      <c r="E80" s="151"/>
      <c r="F80" s="151"/>
      <c r="G80" s="150"/>
      <c r="H80" s="150"/>
      <c r="I80" s="150"/>
      <c r="J80" s="150"/>
      <c r="K80" s="150"/>
      <c r="L80" s="150"/>
      <c r="M80" s="150"/>
      <c r="N80" s="150"/>
      <c r="O80" s="152"/>
      <c r="P80" s="153"/>
    </row>
    <row r="81" spans="1:16" ht="6" customHeight="1" x14ac:dyDescent="0.35">
      <c r="A81" s="154"/>
      <c r="B81" s="151"/>
      <c r="C81" s="150"/>
      <c r="D81" s="150"/>
      <c r="E81" s="151"/>
      <c r="F81" s="151"/>
      <c r="G81" s="150"/>
      <c r="H81" s="150"/>
      <c r="I81" s="150"/>
      <c r="J81" s="150"/>
      <c r="K81" s="150"/>
      <c r="L81" s="150"/>
      <c r="M81" s="150"/>
      <c r="N81" s="150"/>
      <c r="O81" s="152"/>
      <c r="P81" s="153"/>
    </row>
    <row r="82" spans="1:16" ht="15.75" customHeight="1" x14ac:dyDescent="0.35">
      <c r="A82" s="154"/>
      <c r="B82" s="167" t="s">
        <v>280</v>
      </c>
      <c r="C82" s="150"/>
      <c r="D82" s="150"/>
      <c r="E82" s="151"/>
      <c r="F82" s="151"/>
      <c r="G82" s="150"/>
      <c r="H82" s="150"/>
      <c r="I82" s="150"/>
      <c r="J82" s="150"/>
      <c r="K82" s="150"/>
      <c r="L82" s="150"/>
      <c r="M82" s="150"/>
      <c r="N82" s="150"/>
      <c r="O82" s="152"/>
      <c r="P82" s="153"/>
    </row>
    <row r="83" spans="1:16" ht="15" customHeight="1" x14ac:dyDescent="0.35">
      <c r="A83" s="180"/>
      <c r="B83" s="296" t="s">
        <v>87</v>
      </c>
      <c r="C83" s="296"/>
      <c r="D83" s="296">
        <v>2017</v>
      </c>
      <c r="E83" s="296">
        <v>2021</v>
      </c>
      <c r="F83" s="296" t="s">
        <v>70</v>
      </c>
      <c r="G83" s="150"/>
      <c r="H83" s="150"/>
      <c r="I83" s="150"/>
      <c r="J83" s="150"/>
      <c r="K83" s="150"/>
      <c r="L83" s="150"/>
      <c r="M83" s="150"/>
      <c r="N83" s="150"/>
      <c r="O83" s="152"/>
      <c r="P83" s="153"/>
    </row>
    <row r="84" spans="1:16" ht="15" customHeight="1" x14ac:dyDescent="0.35">
      <c r="A84" s="154"/>
      <c r="B84" s="323" t="s">
        <v>186</v>
      </c>
      <c r="C84" s="320" t="s">
        <v>187</v>
      </c>
      <c r="D84" s="324">
        <v>3.024E-2</v>
      </c>
      <c r="E84" s="324">
        <v>1.7399999999999999E-2</v>
      </c>
      <c r="F84" s="292" t="s">
        <v>188</v>
      </c>
      <c r="G84" s="150"/>
      <c r="H84" s="150"/>
      <c r="I84" s="150"/>
      <c r="J84" s="150"/>
      <c r="K84" s="150"/>
      <c r="L84" s="150"/>
      <c r="M84" s="150"/>
      <c r="N84" s="150"/>
      <c r="O84" s="152"/>
      <c r="P84" s="153"/>
    </row>
    <row r="85" spans="1:16" ht="15" customHeight="1" x14ac:dyDescent="0.35">
      <c r="A85" s="154"/>
      <c r="B85" s="323" t="s">
        <v>189</v>
      </c>
      <c r="C85" s="320" t="s">
        <v>187</v>
      </c>
      <c r="D85" s="324">
        <v>3.6229999999999998E-2</v>
      </c>
      <c r="E85" s="324">
        <v>1.8579999999999999E-2</v>
      </c>
      <c r="F85" s="293"/>
      <c r="G85" s="150"/>
      <c r="H85" s="150"/>
      <c r="I85" s="150"/>
      <c r="J85" s="150"/>
      <c r="K85" s="150"/>
      <c r="L85" s="150"/>
      <c r="M85" s="150"/>
      <c r="N85" s="150"/>
      <c r="O85" s="152"/>
      <c r="P85" s="153"/>
    </row>
    <row r="86" spans="1:16" ht="15" customHeight="1" x14ac:dyDescent="0.35">
      <c r="A86" s="154"/>
      <c r="B86" s="323"/>
      <c r="C86" s="320" t="s">
        <v>190</v>
      </c>
      <c r="D86" s="324">
        <v>9.32</v>
      </c>
      <c r="E86" s="324"/>
      <c r="F86" s="292" t="s">
        <v>232</v>
      </c>
      <c r="G86" s="150"/>
      <c r="H86" s="150"/>
      <c r="I86" s="150"/>
      <c r="J86" s="150"/>
      <c r="K86" s="150"/>
      <c r="L86" s="150"/>
      <c r="M86" s="150"/>
      <c r="N86" s="150"/>
      <c r="O86" s="152"/>
      <c r="P86" s="153"/>
    </row>
    <row r="87" spans="1:16" ht="15" customHeight="1" x14ac:dyDescent="0.35">
      <c r="A87" s="154"/>
      <c r="B87" s="323" t="s">
        <v>191</v>
      </c>
      <c r="C87" s="320" t="s">
        <v>187</v>
      </c>
      <c r="D87" s="324">
        <v>0.8347</v>
      </c>
      <c r="E87" s="324">
        <v>0.88295000000000001</v>
      </c>
      <c r="F87" s="293"/>
      <c r="G87" s="150"/>
      <c r="H87" s="150"/>
      <c r="I87" s="150"/>
      <c r="J87" s="150"/>
      <c r="K87" s="150"/>
      <c r="L87" s="150"/>
      <c r="M87" s="150"/>
      <c r="N87" s="150"/>
      <c r="O87" s="152"/>
      <c r="P87" s="153"/>
    </row>
    <row r="88" spans="1:16" ht="15" customHeight="1" x14ac:dyDescent="0.35">
      <c r="A88" s="154"/>
      <c r="B88" s="323"/>
      <c r="C88" s="320" t="s">
        <v>190</v>
      </c>
      <c r="D88" s="324">
        <v>0.74</v>
      </c>
      <c r="E88" s="324"/>
      <c r="F88" s="292" t="s">
        <v>233</v>
      </c>
      <c r="G88" s="150"/>
      <c r="H88" s="150"/>
      <c r="I88" s="150"/>
      <c r="J88" s="150"/>
      <c r="K88" s="150"/>
      <c r="L88" s="150"/>
      <c r="M88" s="150"/>
      <c r="N88" s="150"/>
      <c r="O88" s="152"/>
      <c r="P88" s="153"/>
    </row>
    <row r="89" spans="1:16" ht="15" customHeight="1" x14ac:dyDescent="0.35">
      <c r="A89" s="152"/>
      <c r="B89" s="167"/>
      <c r="C89" s="150"/>
      <c r="D89" s="150"/>
      <c r="E89" s="151"/>
      <c r="F89" s="151"/>
      <c r="G89" s="150"/>
      <c r="H89" s="150"/>
      <c r="I89" s="150"/>
      <c r="J89" s="150"/>
      <c r="K89" s="150"/>
      <c r="L89" s="150"/>
      <c r="M89" s="150"/>
      <c r="N89" s="150"/>
      <c r="O89" s="152"/>
      <c r="P89" s="153"/>
    </row>
    <row r="90" spans="1:16" ht="15.65" customHeight="1" x14ac:dyDescent="0.35">
      <c r="A90" s="168"/>
      <c r="B90" s="169" t="s">
        <v>284</v>
      </c>
      <c r="C90" s="170"/>
      <c r="D90" s="170"/>
      <c r="E90" s="169"/>
      <c r="F90" s="169"/>
      <c r="G90" s="170"/>
      <c r="H90" s="170"/>
      <c r="I90" s="170"/>
      <c r="J90" s="170"/>
      <c r="K90" s="170"/>
      <c r="L90" s="170"/>
      <c r="M90" s="170"/>
      <c r="N90" s="170"/>
      <c r="O90" s="171"/>
      <c r="P90" s="201"/>
    </row>
    <row r="91" spans="1:16" ht="6" customHeight="1" x14ac:dyDescent="0.35">
      <c r="A91" s="154"/>
      <c r="B91" s="151"/>
      <c r="C91" s="150"/>
      <c r="D91" s="150"/>
      <c r="E91" s="151"/>
      <c r="F91" s="151"/>
      <c r="G91" s="150"/>
      <c r="H91" s="150"/>
      <c r="I91" s="150"/>
      <c r="J91" s="150"/>
      <c r="K91" s="150"/>
      <c r="L91" s="150"/>
      <c r="M91" s="150"/>
      <c r="N91" s="150"/>
      <c r="O91" s="152"/>
      <c r="P91" s="152"/>
    </row>
    <row r="93" spans="1:16" x14ac:dyDescent="0.35">
      <c r="A93" s="4"/>
      <c r="B93" s="143"/>
      <c r="C93" s="147"/>
      <c r="D93" s="147"/>
      <c r="E93" s="143"/>
      <c r="F93" s="143"/>
      <c r="G93" s="147"/>
      <c r="H93" s="147"/>
      <c r="I93" s="147"/>
      <c r="J93" s="147"/>
      <c r="K93" s="147"/>
      <c r="L93" s="147"/>
      <c r="M93" s="147"/>
      <c r="N93" s="147"/>
      <c r="O93" s="4"/>
    </row>
    <row r="311" ht="14.5" customHeight="1" x14ac:dyDescent="0.35"/>
    <row r="318" ht="14.5" customHeight="1" x14ac:dyDescent="0.35"/>
  </sheetData>
  <mergeCells count="17">
    <mergeCell ref="E4:J4"/>
    <mergeCell ref="E5:J5"/>
    <mergeCell ref="E6:J6"/>
    <mergeCell ref="O56:P56"/>
    <mergeCell ref="O57:P59"/>
    <mergeCell ref="L42:L45"/>
    <mergeCell ref="O50:P52"/>
    <mergeCell ref="O49:P49"/>
    <mergeCell ref="C33:D33"/>
    <mergeCell ref="C34:D34"/>
    <mergeCell ref="C37:D37"/>
    <mergeCell ref="C38:D38"/>
    <mergeCell ref="E29:E33"/>
    <mergeCell ref="C29:D29"/>
    <mergeCell ref="C30:D30"/>
    <mergeCell ref="C31:D31"/>
    <mergeCell ref="C32:D32"/>
  </mergeCells>
  <phoneticPr fontId="15" type="noConversion"/>
  <conditionalFormatting sqref="B12:C12">
    <cfRule type="cellIs" dxfId="4" priority="1" operator="lessThan">
      <formula>0</formula>
    </cfRule>
  </conditionalFormatting>
  <conditionalFormatting sqref="C4:C8 C13 C90">
    <cfRule type="cellIs" dxfId="3" priority="11" operator="lessThan">
      <formula>0</formula>
    </cfRule>
  </conditionalFormatting>
  <conditionalFormatting sqref="C78:I79">
    <cfRule type="cellIs" dxfId="2" priority="4" operator="lessThan">
      <formula>0</formula>
    </cfRule>
  </conditionalFormatting>
  <conditionalFormatting sqref="D84:E88">
    <cfRule type="cellIs" dxfId="1" priority="3" operator="lessThan">
      <formula>0</formula>
    </cfRule>
  </conditionalFormatting>
  <hyperlinks>
    <hyperlink ref="J78" r:id="rId1" xr:uid="{E4BFEEAD-DEF4-4805-A066-6677891A5ECB}"/>
    <hyperlink ref="F69" r:id="rId2" xr:uid="{2C563B7F-930F-4B62-969D-77FA09544D0D}"/>
    <hyperlink ref="E17" r:id="rId3" xr:uid="{FE1447EF-6D36-44AA-B511-79B301B230BB}"/>
    <hyperlink ref="E18" r:id="rId4" xr:uid="{B8BCFC6D-729F-4215-9A23-2CB7825DBAD0}"/>
    <hyperlink ref="E19" r:id="rId5" xr:uid="{2B2B1BD8-8A2B-42C5-97D3-34BAA03B4602}"/>
    <hyperlink ref="E20" r:id="rId6" xr:uid="{7D7BA770-E489-4081-9688-A70A581A45E9}"/>
    <hyperlink ref="E21" r:id="rId7" xr:uid="{3F0DC5C1-0327-4F02-91EA-B9445E826C9B}"/>
    <hyperlink ref="E22" r:id="rId8" xr:uid="{1C9A2233-5A5E-4913-9455-805100EA81BF}"/>
    <hyperlink ref="E24" r:id="rId9" xr:uid="{4AD49B21-E779-4B3C-BE54-6281F407D57D}"/>
    <hyperlink ref="F17" r:id="rId10" xr:uid="{B2773324-AA96-46B4-90A6-17731D0A0582}"/>
    <hyperlink ref="F18" r:id="rId11" xr:uid="{676162E8-8B64-4DA6-BF29-5D3DAE548192}"/>
    <hyperlink ref="F19" r:id="rId12" xr:uid="{A4AB0C17-9AAB-4BF0-AF30-108A2D74D183}"/>
    <hyperlink ref="F20" r:id="rId13" xr:uid="{5205DCEC-A35E-4323-9718-1A37817A466E}"/>
    <hyperlink ref="F21" r:id="rId14" xr:uid="{2EE9E6E3-A169-4440-B37E-C35B18F04C3E}"/>
    <hyperlink ref="F22" r:id="rId15" xr:uid="{E3DAA3CB-13BF-4B67-B42B-31FCE21C9EB1}"/>
    <hyperlink ref="F24" r:id="rId16" xr:uid="{94BD8389-DE43-4CF9-B7E4-E95E2C8381B9}"/>
    <hyperlink ref="E38" r:id="rId17" xr:uid="{E99FEDFE-9031-4CE4-9A1D-ED61C27F03C7}"/>
    <hyperlink ref="D63" r:id="rId18" xr:uid="{B6D8C309-94D0-41D3-9257-B6DE3F72C672}"/>
    <hyperlink ref="F68" r:id="rId19" xr:uid="{6279D68A-6807-4FFA-81B3-F1764989614B}"/>
    <hyperlink ref="F86" r:id="rId20" xr:uid="{480E117A-5ECD-437E-8E53-CD9ABC302B01}"/>
    <hyperlink ref="F84" r:id="rId21" xr:uid="{D8E206D0-690E-467A-BA0E-7C18BBF5FBE5}"/>
    <hyperlink ref="F88" r:id="rId22" xr:uid="{B7632469-A2DD-4446-BC2F-8AFFA8217BC1}"/>
  </hyperlinks>
  <pageMargins left="0.7" right="0.7" top="0.75" bottom="0.75" header="0.3" footer="0.3"/>
  <pageSetup paperSize="9" orientation="portrait" r:id="rId23"/>
  <legacyDrawing r:id="rId2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A976F-1607-4BD4-BF7D-C647A3148E7E}">
  <dimension ref="A1:AE115"/>
  <sheetViews>
    <sheetView showGridLines="0" topLeftCell="A37" zoomScaleNormal="100" workbookViewId="0">
      <pane xSplit="3" topLeftCell="D1" activePane="topRight" state="frozen"/>
      <selection activeCell="A6" sqref="A6"/>
      <selection pane="topRight" activeCell="E102" sqref="E102"/>
    </sheetView>
  </sheetViews>
  <sheetFormatPr baseColWidth="10" defaultColWidth="9.453125" defaultRowHeight="14.5" x14ac:dyDescent="0.35"/>
  <cols>
    <col min="1" max="1" width="3.54296875" customWidth="1"/>
    <col min="2" max="2" width="55.54296875" customWidth="1"/>
    <col min="3" max="3" width="48.453125" customWidth="1"/>
    <col min="4" max="4" width="30.54296875" customWidth="1"/>
    <col min="5" max="5" width="19.54296875" customWidth="1"/>
    <col min="6" max="6" width="16.1796875" customWidth="1"/>
    <col min="7" max="7" width="33.1796875" customWidth="1"/>
    <col min="8" max="8" width="12" bestFit="1" customWidth="1"/>
    <col min="9" max="9" width="23.54296875" customWidth="1"/>
    <col min="10" max="10" width="22.54296875" customWidth="1"/>
    <col min="11" max="11" width="12.1796875" customWidth="1"/>
    <col min="12" max="12" width="24.54296875" customWidth="1"/>
    <col min="13" max="13" width="17.453125" customWidth="1"/>
    <col min="14" max="14" width="15" customWidth="1"/>
    <col min="15" max="15" width="16" customWidth="1"/>
    <col min="16" max="16" width="9.54296875" bestFit="1" customWidth="1"/>
    <col min="18" max="18" width="10.453125" customWidth="1"/>
    <col min="19" max="19" width="15.453125" customWidth="1"/>
    <col min="20" max="25" width="9.54296875" customWidth="1"/>
    <col min="26" max="30" width="9.453125" customWidth="1"/>
    <col min="31" max="31" width="9.453125" collapsed="1"/>
  </cols>
  <sheetData>
    <row r="1" spans="1:31" ht="18" x14ac:dyDescent="0.4">
      <c r="A1" s="258"/>
      <c r="B1" s="329" t="s">
        <v>217</v>
      </c>
      <c r="C1" s="27"/>
      <c r="D1" s="28"/>
      <c r="E1" s="29"/>
      <c r="F1" s="29"/>
      <c r="G1" s="29"/>
      <c r="H1" s="29"/>
      <c r="I1" s="29"/>
      <c r="J1" s="29"/>
      <c r="K1" s="29"/>
      <c r="L1" s="29"/>
      <c r="M1" s="29"/>
      <c r="N1" s="29"/>
      <c r="O1" s="29"/>
      <c r="P1" s="132"/>
      <c r="Q1" s="82"/>
      <c r="R1" s="82"/>
      <c r="S1" s="82"/>
      <c r="T1" s="82"/>
      <c r="U1" s="82"/>
      <c r="V1" s="82"/>
      <c r="W1" s="82"/>
      <c r="X1" s="82"/>
      <c r="Y1" s="82"/>
      <c r="Z1" s="82"/>
      <c r="AA1" s="82"/>
      <c r="AB1" s="82"/>
      <c r="AC1" s="82"/>
      <c r="AD1" s="82"/>
      <c r="AE1" s="82"/>
    </row>
    <row r="2" spans="1:31" x14ac:dyDescent="0.35">
      <c r="B2" s="4"/>
      <c r="C2" s="4"/>
      <c r="D2" s="4"/>
      <c r="E2" s="64"/>
      <c r="F2" s="64"/>
      <c r="G2" s="4"/>
      <c r="H2" s="4"/>
      <c r="I2" s="4"/>
      <c r="J2" s="4"/>
      <c r="K2" s="4"/>
      <c r="L2" s="4"/>
      <c r="M2" s="4"/>
      <c r="N2" s="4"/>
      <c r="O2" s="4"/>
      <c r="P2" s="6"/>
      <c r="Q2" s="4"/>
      <c r="R2" s="4"/>
      <c r="S2" s="4"/>
      <c r="T2" s="4"/>
      <c r="U2" s="4"/>
      <c r="V2" s="4"/>
      <c r="W2" s="4"/>
      <c r="X2" s="4"/>
      <c r="Y2" s="4"/>
      <c r="Z2" s="4"/>
      <c r="AA2" s="4"/>
      <c r="AB2" s="4"/>
      <c r="AC2" s="4"/>
      <c r="AD2" s="4"/>
      <c r="AE2" s="4"/>
    </row>
    <row r="3" spans="1:31" ht="20.5" x14ac:dyDescent="0.45">
      <c r="B3" s="330" t="s">
        <v>229</v>
      </c>
      <c r="C3" s="4"/>
      <c r="D3" s="4"/>
      <c r="E3" s="4"/>
      <c r="F3" s="64"/>
      <c r="G3" s="4"/>
      <c r="H3" s="4"/>
      <c r="I3" s="4"/>
      <c r="J3" s="4"/>
      <c r="K3" s="4"/>
      <c r="L3" s="4"/>
      <c r="M3" s="4"/>
      <c r="N3" s="4"/>
      <c r="O3" s="4"/>
      <c r="P3" s="6"/>
      <c r="Q3" s="4"/>
      <c r="R3" s="133" t="s">
        <v>88</v>
      </c>
      <c r="S3" s="4"/>
      <c r="T3" s="4"/>
      <c r="U3" s="4"/>
      <c r="V3" s="4"/>
      <c r="W3" s="4"/>
      <c r="X3" s="4"/>
      <c r="Y3" s="4"/>
      <c r="Z3" s="4"/>
      <c r="AA3" s="4"/>
      <c r="AB3" s="4"/>
      <c r="AC3" s="4"/>
      <c r="AD3" s="4"/>
      <c r="AE3" s="4"/>
    </row>
    <row r="4" spans="1:31" ht="16" thickBot="1" x14ac:dyDescent="0.4">
      <c r="B4" s="335" t="s">
        <v>87</v>
      </c>
      <c r="C4" s="334"/>
      <c r="D4" s="334">
        <v>2018</v>
      </c>
      <c r="E4" s="334">
        <v>2019</v>
      </c>
      <c r="F4" s="334">
        <v>2020</v>
      </c>
      <c r="G4" s="334">
        <v>2021</v>
      </c>
      <c r="H4" s="334">
        <v>2022</v>
      </c>
      <c r="I4" s="334">
        <v>2023</v>
      </c>
      <c r="J4" s="334">
        <v>2024</v>
      </c>
      <c r="K4" s="334">
        <v>2025</v>
      </c>
      <c r="L4" s="334">
        <v>2026</v>
      </c>
      <c r="M4" s="334">
        <v>2027</v>
      </c>
      <c r="N4" s="334">
        <v>2028</v>
      </c>
      <c r="O4" s="334">
        <v>2029</v>
      </c>
      <c r="P4" s="6"/>
      <c r="Q4" s="4"/>
      <c r="R4" s="80" t="s">
        <v>87</v>
      </c>
      <c r="S4" s="65">
        <v>2018</v>
      </c>
      <c r="T4" s="65">
        <v>2019</v>
      </c>
      <c r="U4" s="65">
        <v>2020</v>
      </c>
      <c r="V4" s="65">
        <v>2021</v>
      </c>
      <c r="W4" s="65">
        <v>2022</v>
      </c>
      <c r="X4" s="65">
        <v>2023</v>
      </c>
      <c r="Y4" s="65">
        <v>2024</v>
      </c>
      <c r="Z4" s="65">
        <v>2025</v>
      </c>
      <c r="AA4" s="65">
        <v>2026</v>
      </c>
      <c r="AB4" s="65">
        <v>2027</v>
      </c>
      <c r="AC4" s="65">
        <v>2028</v>
      </c>
      <c r="AD4" s="65">
        <v>2029</v>
      </c>
      <c r="AE4" s="4"/>
    </row>
    <row r="5" spans="1:31" x14ac:dyDescent="0.35">
      <c r="B5" s="400" t="s">
        <v>89</v>
      </c>
      <c r="C5" s="193" t="s">
        <v>238</v>
      </c>
      <c r="D5" s="66" t="s">
        <v>91</v>
      </c>
      <c r="E5" s="206">
        <v>0</v>
      </c>
      <c r="F5" s="326">
        <f>G5</f>
        <v>0.12</v>
      </c>
      <c r="G5" s="326">
        <v>0.12</v>
      </c>
      <c r="H5" s="86">
        <f>G5+G5*'Sensitivity analysis'!$C$9</f>
        <v>0.11159999999999999</v>
      </c>
      <c r="I5" s="86">
        <f>H5+H5*'Sensitivity analysis'!$C$9</f>
        <v>0.10378799999999999</v>
      </c>
      <c r="J5" s="86">
        <f>I5+I5*'Sensitivity analysis'!$C$9</f>
        <v>9.6522839999999999E-2</v>
      </c>
      <c r="K5" s="86">
        <f>J5+J5*'Sensitivity analysis'!$C$9</f>
        <v>8.9766241199999999E-2</v>
      </c>
      <c r="L5" s="86">
        <f>K5+K5*'Sensitivity analysis'!$C$9</f>
        <v>8.3482604315999992E-2</v>
      </c>
      <c r="M5" s="86">
        <f>L5+L5*'Sensitivity analysis'!$C$9</f>
        <v>7.7638822013879991E-2</v>
      </c>
      <c r="N5" s="86">
        <f>M5+M5*'Sensitivity analysis'!$C$9</f>
        <v>7.2204104472908398E-2</v>
      </c>
      <c r="O5" s="134"/>
      <c r="P5" s="6"/>
      <c r="Q5" s="4"/>
      <c r="R5" s="80" t="s">
        <v>87</v>
      </c>
      <c r="S5" s="9"/>
      <c r="T5" s="117">
        <f t="shared" ref="T5:AD5" si="0">E17</f>
        <v>8.2200000000000006</v>
      </c>
      <c r="U5" s="117">
        <f t="shared" si="0"/>
        <v>1.6346000000000003</v>
      </c>
      <c r="V5" s="117">
        <f t="shared" si="0"/>
        <v>1.0551780000000002</v>
      </c>
      <c r="W5" s="117">
        <f t="shared" si="0"/>
        <v>0.98131554000000021</v>
      </c>
      <c r="X5" s="117">
        <f t="shared" si="0"/>
        <v>0.9126234522000003</v>
      </c>
      <c r="Y5" s="117">
        <f t="shared" si="0"/>
        <v>0.84873981054600034</v>
      </c>
      <c r="Z5" s="117">
        <f t="shared" si="0"/>
        <v>0.78932802380778022</v>
      </c>
      <c r="AA5" s="117">
        <f t="shared" si="0"/>
        <v>0.73407506214123552</v>
      </c>
      <c r="AB5" s="117">
        <f t="shared" si="0"/>
        <v>0.68268980779134902</v>
      </c>
      <c r="AC5" s="117">
        <f t="shared" si="0"/>
        <v>0.63490152124595456</v>
      </c>
      <c r="AD5" s="117">
        <f t="shared" si="0"/>
        <v>0</v>
      </c>
      <c r="AE5" s="4"/>
    </row>
    <row r="6" spans="1:31" x14ac:dyDescent="0.35">
      <c r="B6" s="401"/>
      <c r="C6" s="9" t="s">
        <v>92</v>
      </c>
      <c r="D6" s="67" t="s">
        <v>91</v>
      </c>
      <c r="E6" s="68">
        <v>0</v>
      </c>
      <c r="F6" s="68">
        <f>'Model input'!$C$21*F5*'Model input'!$C$37</f>
        <v>5.9280000000000008</v>
      </c>
      <c r="G6" s="68">
        <f>'Model input'!$C$21*G5*'Model input'!$C$37</f>
        <v>5.9280000000000008</v>
      </c>
      <c r="H6" s="68">
        <f>'Model input'!$C$21*H5*'Model input'!$C$37</f>
        <v>5.5130400000000002</v>
      </c>
      <c r="I6" s="68">
        <f>'Model input'!$C$21*I5*'Model input'!$C$37</f>
        <v>5.1271272000000003</v>
      </c>
      <c r="J6" s="68">
        <f>'Model input'!$C$21*J5*'Model input'!$C$37</f>
        <v>4.7682282960000002</v>
      </c>
      <c r="K6" s="68">
        <f>'Model input'!$C$21*K5*'Model input'!$C$37</f>
        <v>4.4344523152800006</v>
      </c>
      <c r="L6" s="68">
        <f>'Model input'!$C$21*L5*'Model input'!$C$37</f>
        <v>4.1240406532103995</v>
      </c>
      <c r="M6" s="68">
        <f>'Model input'!$C$21*M5*'Model input'!$C$37</f>
        <v>3.8353578074856713</v>
      </c>
      <c r="N6" s="68">
        <f>'Model input'!$C$21*N5*'Model input'!$C$37</f>
        <v>3.5668827609616751</v>
      </c>
      <c r="O6" s="135"/>
      <c r="P6" s="6"/>
      <c r="Q6" s="4"/>
      <c r="R6" s="80" t="s">
        <v>94</v>
      </c>
      <c r="S6" s="9"/>
      <c r="T6" s="117">
        <f t="shared" ref="T6:AD14" si="1">S5</f>
        <v>0</v>
      </c>
      <c r="U6" s="117">
        <f t="shared" si="1"/>
        <v>8.2200000000000006</v>
      </c>
      <c r="V6" s="117">
        <f t="shared" si="1"/>
        <v>1.6346000000000003</v>
      </c>
      <c r="W6" s="117">
        <f t="shared" si="1"/>
        <v>1.0551780000000002</v>
      </c>
      <c r="X6" s="117">
        <f t="shared" si="1"/>
        <v>0.98131554000000021</v>
      </c>
      <c r="Y6" s="117">
        <f t="shared" si="1"/>
        <v>0.9126234522000003</v>
      </c>
      <c r="Z6" s="117">
        <f t="shared" si="1"/>
        <v>0.84873981054600034</v>
      </c>
      <c r="AA6" s="117">
        <f t="shared" si="1"/>
        <v>0.78932802380778022</v>
      </c>
      <c r="AB6" s="117">
        <f t="shared" si="1"/>
        <v>0.73407506214123552</v>
      </c>
      <c r="AC6" s="117">
        <f t="shared" si="1"/>
        <v>0.68268980779134902</v>
      </c>
      <c r="AD6" s="117">
        <f t="shared" si="1"/>
        <v>0.63490152124595456</v>
      </c>
      <c r="AE6" s="4"/>
    </row>
    <row r="7" spans="1:31" ht="14.9" customHeight="1" x14ac:dyDescent="0.35">
      <c r="B7" s="401"/>
      <c r="C7" s="9" t="s">
        <v>93</v>
      </c>
      <c r="D7" s="67" t="s">
        <v>91</v>
      </c>
      <c r="E7" s="69">
        <f>E6*'Model input'!D51</f>
        <v>0</v>
      </c>
      <c r="F7" s="69">
        <f>F6*'Model input'!E51</f>
        <v>84.924578470101295</v>
      </c>
      <c r="G7" s="69">
        <f>G6*'Model input'!F51</f>
        <v>127.37540667507587</v>
      </c>
      <c r="H7" s="69">
        <f>H6*'Model input'!G51</f>
        <v>128.74424675685154</v>
      </c>
      <c r="I7" s="69">
        <f>I6*'Model input'!H51</f>
        <v>56.15386109575072</v>
      </c>
      <c r="J7" s="69">
        <f>J6*'Model input'!I51</f>
        <v>79.621220487897645</v>
      </c>
      <c r="K7" s="69">
        <f>K6*'Model input'!J51</f>
        <v>74.047735053744816</v>
      </c>
      <c r="L7" s="69">
        <f>L6*'Model input'!K51</f>
        <v>68.864393599982662</v>
      </c>
      <c r="M7" s="69">
        <f>M6*'Model input'!L51</f>
        <v>64.043886047983875</v>
      </c>
      <c r="N7" s="69">
        <f>N6*'Model input'!M51</f>
        <v>59.560814024625017</v>
      </c>
      <c r="O7" s="135"/>
      <c r="P7" s="6"/>
      <c r="Q7" s="4"/>
      <c r="R7" s="80" t="s">
        <v>96</v>
      </c>
      <c r="S7" s="9"/>
      <c r="T7" s="117">
        <f t="shared" si="1"/>
        <v>0</v>
      </c>
      <c r="U7" s="117">
        <f t="shared" si="1"/>
        <v>0</v>
      </c>
      <c r="V7" s="117">
        <f t="shared" si="1"/>
        <v>8.2200000000000006</v>
      </c>
      <c r="W7" s="117">
        <f t="shared" si="1"/>
        <v>1.6346000000000003</v>
      </c>
      <c r="X7" s="117">
        <f t="shared" si="1"/>
        <v>1.0551780000000002</v>
      </c>
      <c r="Y7" s="117">
        <f t="shared" si="1"/>
        <v>0.98131554000000021</v>
      </c>
      <c r="Z7" s="117">
        <f t="shared" si="1"/>
        <v>0.9126234522000003</v>
      </c>
      <c r="AA7" s="117">
        <f t="shared" si="1"/>
        <v>0.84873981054600034</v>
      </c>
      <c r="AB7" s="117">
        <f t="shared" si="1"/>
        <v>0.78932802380778022</v>
      </c>
      <c r="AC7" s="117">
        <f t="shared" si="1"/>
        <v>0.73407506214123552</v>
      </c>
      <c r="AD7" s="117">
        <f t="shared" si="1"/>
        <v>0.68268980779134902</v>
      </c>
      <c r="AE7" s="4"/>
    </row>
    <row r="8" spans="1:31" x14ac:dyDescent="0.35">
      <c r="B8" s="401"/>
      <c r="C8" s="9" t="s">
        <v>95</v>
      </c>
      <c r="D8" s="67" t="s">
        <v>91</v>
      </c>
      <c r="E8" s="68">
        <f>E6/'Model input'!$C$29</f>
        <v>0</v>
      </c>
      <c r="F8" s="68">
        <f>F6/'Model input'!$C$29</f>
        <v>0.11856000000000001</v>
      </c>
      <c r="G8" s="68">
        <f>G6/'Model input'!$C$29</f>
        <v>0.11856000000000001</v>
      </c>
      <c r="H8" s="68">
        <f>H6/'Model input'!$C$29</f>
        <v>0.11026080000000001</v>
      </c>
      <c r="I8" s="68">
        <f>I6/'Model input'!$C$29</f>
        <v>0.10254254400000001</v>
      </c>
      <c r="J8" s="68">
        <f>J6/'Model input'!$C$29</f>
        <v>9.5364565920000005E-2</v>
      </c>
      <c r="K8" s="68">
        <f>K6/'Model input'!$C$29</f>
        <v>8.8689046305600011E-2</v>
      </c>
      <c r="L8" s="68">
        <f>L6/'Model input'!$C$29</f>
        <v>8.2480813064207986E-2</v>
      </c>
      <c r="M8" s="68">
        <f>M6/'Model input'!$C$29</f>
        <v>7.6707156149713421E-2</v>
      </c>
      <c r="N8" s="68">
        <f>N6/'Model input'!$C$29</f>
        <v>7.1337655219233506E-2</v>
      </c>
      <c r="O8" s="135"/>
      <c r="P8" s="6"/>
      <c r="Q8" s="4"/>
      <c r="R8" s="80" t="s">
        <v>98</v>
      </c>
      <c r="S8" s="9"/>
      <c r="T8" s="117">
        <f t="shared" si="1"/>
        <v>0</v>
      </c>
      <c r="U8" s="117">
        <f t="shared" si="1"/>
        <v>0</v>
      </c>
      <c r="V8" s="117">
        <f t="shared" si="1"/>
        <v>0</v>
      </c>
      <c r="W8" s="117">
        <f t="shared" si="1"/>
        <v>8.2200000000000006</v>
      </c>
      <c r="X8" s="117">
        <f t="shared" si="1"/>
        <v>1.6346000000000003</v>
      </c>
      <c r="Y8" s="117">
        <f t="shared" si="1"/>
        <v>1.0551780000000002</v>
      </c>
      <c r="Z8" s="117">
        <f t="shared" si="1"/>
        <v>0.98131554000000021</v>
      </c>
      <c r="AA8" s="117">
        <f t="shared" si="1"/>
        <v>0.9126234522000003</v>
      </c>
      <c r="AB8" s="117">
        <f t="shared" si="1"/>
        <v>0.84873981054600034</v>
      </c>
      <c r="AC8" s="117">
        <f t="shared" si="1"/>
        <v>0.78932802380778022</v>
      </c>
      <c r="AD8" s="117">
        <f t="shared" si="1"/>
        <v>0.73407506214123552</v>
      </c>
      <c r="AE8" s="4"/>
    </row>
    <row r="9" spans="1:31" x14ac:dyDescent="0.35">
      <c r="B9" s="401"/>
      <c r="C9" s="9" t="s">
        <v>97</v>
      </c>
      <c r="D9" s="67" t="s">
        <v>91</v>
      </c>
      <c r="E9" s="69">
        <f>E8*'Model input'!D58</f>
        <v>0</v>
      </c>
      <c r="F9" s="69">
        <f>F8*'Model input'!E58</f>
        <v>5.3636575875853456</v>
      </c>
      <c r="G9" s="69">
        <f>G8*'Model input'!F58</f>
        <v>5.648822382981626</v>
      </c>
      <c r="H9" s="69">
        <f>H8*'Model input'!G58</f>
        <v>4.7892859793548768</v>
      </c>
      <c r="I9" s="69">
        <f>I8*'Model input'!H58</f>
        <v>4.434439999210313</v>
      </c>
      <c r="J9" s="69">
        <f>J8*'Model input'!I58</f>
        <v>4.12402919926559</v>
      </c>
      <c r="K9" s="69">
        <f>K8*'Model input'!J58</f>
        <v>3.8353471553169993</v>
      </c>
      <c r="L9" s="69">
        <f>L8*'Model input'!K58</f>
        <v>3.5668728544448083</v>
      </c>
      <c r="M9" s="69">
        <f>M8*'Model input'!L58</f>
        <v>3.3171917546336713</v>
      </c>
      <c r="N9" s="69">
        <f>N8*'Model input'!M58</f>
        <v>3.0849883318093156</v>
      </c>
      <c r="O9" s="135"/>
      <c r="P9" s="6"/>
      <c r="Q9" s="4"/>
      <c r="R9" s="80" t="s">
        <v>100</v>
      </c>
      <c r="S9" s="9"/>
      <c r="T9" s="117">
        <f t="shared" si="1"/>
        <v>0</v>
      </c>
      <c r="U9" s="117">
        <f t="shared" si="1"/>
        <v>0</v>
      </c>
      <c r="V9" s="117">
        <f t="shared" si="1"/>
        <v>0</v>
      </c>
      <c r="W9" s="117">
        <f t="shared" si="1"/>
        <v>0</v>
      </c>
      <c r="X9" s="117">
        <f t="shared" si="1"/>
        <v>8.2200000000000006</v>
      </c>
      <c r="Y9" s="117">
        <f t="shared" si="1"/>
        <v>1.6346000000000003</v>
      </c>
      <c r="Z9" s="117">
        <f t="shared" si="1"/>
        <v>1.0551780000000002</v>
      </c>
      <c r="AA9" s="117">
        <f t="shared" si="1"/>
        <v>0.98131554000000021</v>
      </c>
      <c r="AB9" s="117">
        <f t="shared" si="1"/>
        <v>0.9126234522000003</v>
      </c>
      <c r="AC9" s="117">
        <f t="shared" si="1"/>
        <v>0.84873981054600034</v>
      </c>
      <c r="AD9" s="117">
        <f t="shared" si="1"/>
        <v>0.78932802380778022</v>
      </c>
      <c r="AE9" s="4"/>
    </row>
    <row r="10" spans="1:31" x14ac:dyDescent="0.35">
      <c r="B10" s="401"/>
      <c r="C10" s="87" t="s">
        <v>99</v>
      </c>
      <c r="D10" s="88" t="s">
        <v>91</v>
      </c>
      <c r="E10" s="89">
        <f t="shared" ref="E10:N10" si="2">E7-E9</f>
        <v>0</v>
      </c>
      <c r="F10" s="89">
        <f t="shared" si="2"/>
        <v>79.560920882515944</v>
      </c>
      <c r="G10" s="89">
        <f t="shared" si="2"/>
        <v>121.72658429209424</v>
      </c>
      <c r="H10" s="89">
        <f t="shared" si="2"/>
        <v>123.95496077749667</v>
      </c>
      <c r="I10" s="89">
        <f t="shared" si="2"/>
        <v>51.719421096540408</v>
      </c>
      <c r="J10" s="89">
        <f t="shared" si="2"/>
        <v>75.497191288632052</v>
      </c>
      <c r="K10" s="89">
        <f t="shared" si="2"/>
        <v>70.212387898427821</v>
      </c>
      <c r="L10" s="89">
        <f t="shared" si="2"/>
        <v>65.297520745537852</v>
      </c>
      <c r="M10" s="89">
        <f t="shared" si="2"/>
        <v>60.726694293350207</v>
      </c>
      <c r="N10" s="89">
        <f t="shared" si="2"/>
        <v>56.475825692815704</v>
      </c>
      <c r="O10" s="135"/>
      <c r="P10" s="6"/>
      <c r="Q10" s="4"/>
      <c r="R10" s="80" t="s">
        <v>102</v>
      </c>
      <c r="S10" s="9"/>
      <c r="T10" s="117">
        <f t="shared" si="1"/>
        <v>0</v>
      </c>
      <c r="U10" s="117">
        <f t="shared" si="1"/>
        <v>0</v>
      </c>
      <c r="V10" s="117">
        <f t="shared" si="1"/>
        <v>0</v>
      </c>
      <c r="W10" s="117">
        <f t="shared" si="1"/>
        <v>0</v>
      </c>
      <c r="X10" s="117">
        <f t="shared" si="1"/>
        <v>0</v>
      </c>
      <c r="Y10" s="117">
        <f t="shared" si="1"/>
        <v>8.2200000000000006</v>
      </c>
      <c r="Z10" s="117">
        <f t="shared" si="1"/>
        <v>1.6346000000000003</v>
      </c>
      <c r="AA10" s="117">
        <f t="shared" si="1"/>
        <v>1.0551780000000002</v>
      </c>
      <c r="AB10" s="117">
        <f t="shared" si="1"/>
        <v>0.98131554000000021</v>
      </c>
      <c r="AC10" s="117">
        <f t="shared" si="1"/>
        <v>0.9126234522000003</v>
      </c>
      <c r="AD10" s="117">
        <f t="shared" si="1"/>
        <v>0.84873981054600034</v>
      </c>
      <c r="AE10" s="4"/>
    </row>
    <row r="11" spans="1:31" x14ac:dyDescent="0.35">
      <c r="B11" s="401"/>
      <c r="C11" s="87" t="s">
        <v>101</v>
      </c>
      <c r="D11" s="88"/>
      <c r="E11" s="90">
        <v>0</v>
      </c>
      <c r="F11" s="90">
        <f>F10/(1+'Model input'!$C$13)^(F4-2018)</f>
        <v>65.752827175633001</v>
      </c>
      <c r="G11" s="90">
        <f>G10/(1+'Model input'!$C$13)^(G4-2018)</f>
        <v>91.454984441843877</v>
      </c>
      <c r="H11" s="90">
        <f>H10/(1+'Model input'!$C$13)^(H4-2018)</f>
        <v>84.662906070279789</v>
      </c>
      <c r="I11" s="90">
        <f>I10/(1+'Model input'!$C$13)^(I4-2018)</f>
        <v>32.11369137511744</v>
      </c>
      <c r="J11" s="90">
        <f>J10/(1+'Model input'!$C$13)^(J4-2018)</f>
        <v>42.616196274715925</v>
      </c>
      <c r="K11" s="90">
        <f>K10/(1+'Model input'!$C$13)^(K4-2018)</f>
        <v>36.030056850441646</v>
      </c>
      <c r="L11" s="90">
        <f>L10/(1+'Model input'!$C$13)^(L4-2018)</f>
        <v>30.461775337191565</v>
      </c>
      <c r="M11" s="90">
        <f>M10/(1+'Model input'!$C$13)^(M4-2018)</f>
        <v>25.754046421443778</v>
      </c>
      <c r="N11" s="90">
        <f>N10/(1+'Model input'!$C$13)^(N4-2018)</f>
        <v>21.773875610857015</v>
      </c>
      <c r="O11" s="136"/>
      <c r="P11" s="6"/>
      <c r="Q11" s="4"/>
      <c r="R11" s="80" t="s">
        <v>104</v>
      </c>
      <c r="S11" s="9"/>
      <c r="T11" s="117">
        <f t="shared" si="1"/>
        <v>0</v>
      </c>
      <c r="U11" s="117">
        <f t="shared" si="1"/>
        <v>0</v>
      </c>
      <c r="V11" s="117">
        <f t="shared" si="1"/>
        <v>0</v>
      </c>
      <c r="W11" s="117">
        <f t="shared" si="1"/>
        <v>0</v>
      </c>
      <c r="X11" s="117">
        <f t="shared" si="1"/>
        <v>0</v>
      </c>
      <c r="Y11" s="117">
        <f t="shared" si="1"/>
        <v>0</v>
      </c>
      <c r="Z11" s="117">
        <f t="shared" si="1"/>
        <v>8.2200000000000006</v>
      </c>
      <c r="AA11" s="117">
        <f t="shared" si="1"/>
        <v>1.6346000000000003</v>
      </c>
      <c r="AB11" s="117">
        <f t="shared" si="1"/>
        <v>1.0551780000000002</v>
      </c>
      <c r="AC11" s="117">
        <f t="shared" si="1"/>
        <v>0.98131554000000021</v>
      </c>
      <c r="AD11" s="117">
        <f t="shared" si="1"/>
        <v>0.9126234522000003</v>
      </c>
      <c r="AE11" s="4"/>
    </row>
    <row r="12" spans="1:31" x14ac:dyDescent="0.35">
      <c r="B12" s="401"/>
      <c r="C12" s="87" t="s">
        <v>103</v>
      </c>
      <c r="D12" s="91"/>
      <c r="E12" s="90">
        <v>0</v>
      </c>
      <c r="F12" s="90">
        <f>F11/('Model input'!$D$79/'Model input'!$G$79)</f>
        <v>105.57379602292642</v>
      </c>
      <c r="G12" s="90">
        <f>G11/('Model input'!$D$79/'Model input'!$G$79)</f>
        <v>146.84159278737786</v>
      </c>
      <c r="H12" s="90">
        <f>H11/('Model input'!$D$79/'Model input'!$G$79)</f>
        <v>135.93612259891165</v>
      </c>
      <c r="I12" s="90">
        <f>I11/('Model input'!$D$79/'Model input'!$G$79)</f>
        <v>51.562258969090799</v>
      </c>
      <c r="J12" s="90">
        <f>J11/('Model input'!$D$79/'Model input'!$G$79)</f>
        <v>68.425249621010579</v>
      </c>
      <c r="K12" s="90">
        <f>K11/('Model input'!$D$79/'Model input'!$G$79)</f>
        <v>57.850438315945304</v>
      </c>
      <c r="L12" s="90">
        <f>L11/('Model input'!$D$79/'Model input'!$G$79)</f>
        <v>48.909916030753742</v>
      </c>
      <c r="M12" s="90">
        <f>M11/('Model input'!$D$79/'Model input'!$G$79)</f>
        <v>41.351110826000891</v>
      </c>
      <c r="N12" s="90">
        <f>N11/('Model input'!$D$79/'Model input'!$G$79)</f>
        <v>34.960484607437124</v>
      </c>
      <c r="O12" s="136"/>
      <c r="P12" s="6"/>
      <c r="Q12" s="4"/>
      <c r="R12" s="80" t="s">
        <v>106</v>
      </c>
      <c r="S12" s="9"/>
      <c r="T12" s="117">
        <f t="shared" si="1"/>
        <v>0</v>
      </c>
      <c r="U12" s="117">
        <f t="shared" si="1"/>
        <v>0</v>
      </c>
      <c r="V12" s="117">
        <f t="shared" si="1"/>
        <v>0</v>
      </c>
      <c r="W12" s="117">
        <f t="shared" si="1"/>
        <v>0</v>
      </c>
      <c r="X12" s="117">
        <f t="shared" si="1"/>
        <v>0</v>
      </c>
      <c r="Y12" s="117">
        <f t="shared" si="1"/>
        <v>0</v>
      </c>
      <c r="Z12" s="117">
        <f t="shared" si="1"/>
        <v>0</v>
      </c>
      <c r="AA12" s="117">
        <f t="shared" si="1"/>
        <v>8.2200000000000006</v>
      </c>
      <c r="AB12" s="117">
        <f t="shared" si="1"/>
        <v>1.6346000000000003</v>
      </c>
      <c r="AC12" s="117">
        <f t="shared" si="1"/>
        <v>1.0551780000000002</v>
      </c>
      <c r="AD12" s="117">
        <f t="shared" si="1"/>
        <v>0.98131554000000021</v>
      </c>
      <c r="AE12" s="4"/>
    </row>
    <row r="13" spans="1:31" ht="15" thickBot="1" x14ac:dyDescent="0.4">
      <c r="B13" s="402"/>
      <c r="C13" s="92" t="s">
        <v>105</v>
      </c>
      <c r="D13" s="91"/>
      <c r="E13" s="90">
        <f>E12*'Model input'!$E$84</f>
        <v>0</v>
      </c>
      <c r="F13" s="90">
        <f>F12*'Model input'!$E$84</f>
        <v>1.8369840507989195</v>
      </c>
      <c r="G13" s="90">
        <f>G12*'Model input'!$E$84</f>
        <v>2.5550437145003748</v>
      </c>
      <c r="H13" s="90">
        <f>H12*'Model input'!$E$84</f>
        <v>2.3652885332210625</v>
      </c>
      <c r="I13" s="90">
        <f>I12*'Model input'!$E$84</f>
        <v>0.89718330606217989</v>
      </c>
      <c r="J13" s="90">
        <f>J12*'Model input'!$E$84</f>
        <v>1.1905993434055839</v>
      </c>
      <c r="K13" s="90">
        <f>K12*'Model input'!$E$84</f>
        <v>1.0065976266974481</v>
      </c>
      <c r="L13" s="90">
        <f>L12*'Model input'!$E$84</f>
        <v>0.8510325389351151</v>
      </c>
      <c r="M13" s="90">
        <f>M12*'Model input'!$E$84</f>
        <v>0.71950932837241544</v>
      </c>
      <c r="N13" s="90">
        <f>N12*'Model input'!$E$84</f>
        <v>0.60831243216940589</v>
      </c>
      <c r="O13" s="136"/>
      <c r="P13" s="6"/>
      <c r="Q13" s="4"/>
      <c r="R13" s="80" t="s">
        <v>109</v>
      </c>
      <c r="S13" s="9"/>
      <c r="T13" s="117">
        <f t="shared" si="1"/>
        <v>0</v>
      </c>
      <c r="U13" s="117">
        <f t="shared" si="1"/>
        <v>0</v>
      </c>
      <c r="V13" s="117">
        <f t="shared" si="1"/>
        <v>0</v>
      </c>
      <c r="W13" s="117">
        <f t="shared" si="1"/>
        <v>0</v>
      </c>
      <c r="X13" s="117">
        <f t="shared" si="1"/>
        <v>0</v>
      </c>
      <c r="Y13" s="117">
        <f t="shared" si="1"/>
        <v>0</v>
      </c>
      <c r="Z13" s="117">
        <f t="shared" si="1"/>
        <v>0</v>
      </c>
      <c r="AA13" s="117">
        <f t="shared" si="1"/>
        <v>0</v>
      </c>
      <c r="AB13" s="117">
        <f t="shared" si="1"/>
        <v>8.2200000000000006</v>
      </c>
      <c r="AC13" s="117">
        <f t="shared" si="1"/>
        <v>1.6346000000000003</v>
      </c>
      <c r="AD13" s="117">
        <f t="shared" si="1"/>
        <v>1.0551780000000002</v>
      </c>
      <c r="AE13" s="4"/>
    </row>
    <row r="14" spans="1:31" x14ac:dyDescent="0.35">
      <c r="B14" s="400" t="s">
        <v>107</v>
      </c>
      <c r="C14" s="85" t="s">
        <v>108</v>
      </c>
      <c r="D14" s="66" t="s">
        <v>91</v>
      </c>
      <c r="E14" s="327">
        <v>7</v>
      </c>
      <c r="F14" s="327">
        <v>0.5</v>
      </c>
      <c r="G14" s="327">
        <v>0</v>
      </c>
      <c r="H14" s="83">
        <f>G14+G14*'Sensitivity analysis'!$C$9</f>
        <v>0</v>
      </c>
      <c r="I14" s="83">
        <f>H14+H14*'Sensitivity analysis'!$C$9</f>
        <v>0</v>
      </c>
      <c r="J14" s="83">
        <f>I14+I14*'Sensitivity analysis'!$C$9</f>
        <v>0</v>
      </c>
      <c r="K14" s="83">
        <f>J14+J14*'Sensitivity analysis'!$C$9</f>
        <v>0</v>
      </c>
      <c r="L14" s="83">
        <f>K14+K14*'Sensitivity analysis'!$C$9</f>
        <v>0</v>
      </c>
      <c r="M14" s="83">
        <f>L14+L14*'Sensitivity analysis'!$C$9</f>
        <v>0</v>
      </c>
      <c r="N14" s="83">
        <f>M14+M14*'Sensitivity analysis'!$C$9</f>
        <v>0</v>
      </c>
      <c r="O14" s="137"/>
      <c r="P14" s="6"/>
      <c r="Q14" s="4"/>
      <c r="R14" s="80" t="s">
        <v>111</v>
      </c>
      <c r="S14" s="9"/>
      <c r="T14" s="118">
        <f t="shared" si="1"/>
        <v>0</v>
      </c>
      <c r="U14" s="117">
        <f t="shared" si="1"/>
        <v>0</v>
      </c>
      <c r="V14" s="117">
        <f t="shared" si="1"/>
        <v>0</v>
      </c>
      <c r="W14" s="117">
        <f t="shared" si="1"/>
        <v>0</v>
      </c>
      <c r="X14" s="117">
        <f t="shared" si="1"/>
        <v>0</v>
      </c>
      <c r="Y14" s="117">
        <f t="shared" si="1"/>
        <v>0</v>
      </c>
      <c r="Z14" s="117">
        <f t="shared" si="1"/>
        <v>0</v>
      </c>
      <c r="AA14" s="117">
        <f t="shared" si="1"/>
        <v>0</v>
      </c>
      <c r="AB14" s="117">
        <f t="shared" si="1"/>
        <v>0</v>
      </c>
      <c r="AC14" s="117">
        <f t="shared" si="1"/>
        <v>8.2200000000000006</v>
      </c>
      <c r="AD14" s="117">
        <f t="shared" si="1"/>
        <v>1.6346000000000003</v>
      </c>
      <c r="AE14" s="4"/>
    </row>
    <row r="15" spans="1:31" x14ac:dyDescent="0.35">
      <c r="B15" s="401"/>
      <c r="C15" s="9" t="s">
        <v>110</v>
      </c>
      <c r="D15" s="67" t="s">
        <v>91</v>
      </c>
      <c r="E15" s="328">
        <v>1.82</v>
      </c>
      <c r="F15" s="84">
        <f>E15+E15*'Sensitivity analysis'!$C$9</f>
        <v>1.6926000000000001</v>
      </c>
      <c r="G15" s="84">
        <f>F15+F15*'Sensitivity analysis'!$C$9</f>
        <v>1.5741180000000001</v>
      </c>
      <c r="H15" s="84">
        <f>G15+G15*'Sensitivity analysis'!$C$9</f>
        <v>1.4639297400000002</v>
      </c>
      <c r="I15" s="84">
        <f>H15+H15*'Sensitivity analysis'!$C$9</f>
        <v>1.3614546582000002</v>
      </c>
      <c r="J15" s="84">
        <f>I15+I15*'Sensitivity analysis'!$C$9</f>
        <v>1.2661528321260003</v>
      </c>
      <c r="K15" s="84">
        <f>J15+J15*'Sensitivity analysis'!$C$9</f>
        <v>1.1775221338771802</v>
      </c>
      <c r="L15" s="84">
        <f>K15+K15*'Sensitivity analysis'!$C$9</f>
        <v>1.0950955845057775</v>
      </c>
      <c r="M15" s="84">
        <f>L15+L15*'Sensitivity analysis'!$C$9</f>
        <v>1.018438893590373</v>
      </c>
      <c r="N15" s="84">
        <f>M15+M15*'Sensitivity analysis'!$C$9</f>
        <v>0.94714817103904692</v>
      </c>
      <c r="O15" s="135"/>
      <c r="P15" s="6"/>
      <c r="Q15" s="4"/>
      <c r="R15" s="122" t="s">
        <v>113</v>
      </c>
      <c r="S15" s="123"/>
      <c r="T15" s="119">
        <f>T5*'Model input'!$C$44+T6*'Model input'!$D$44+SROI!T7*'Model input'!$E$44+SROI!T8*'Model input'!$F$44+SROI!T9*'Model input'!$G$44+SROI!T10*'Model input'!$H$44+SROI!T11*'Model input'!$I$44+SROI!T12*'Model input'!$J$44+SROI!T13*'Model input'!$K$44+T14</f>
        <v>-9.0420000000000016</v>
      </c>
      <c r="U15" s="119">
        <f>U5*'Model input'!$C$44+U6*'Model input'!$D$44+SROI!U7*'Model input'!$E$44+SROI!U8*'Model input'!$F$44+SROI!U9*'Model input'!$G$44+SROI!U10*'Model input'!$H$44+SROI!U11*'Model input'!$I$44+SROI!U12*'Model input'!$J$44+SROI!U13*'Model input'!$K$44+U14</f>
        <v>-5.0860600000000016</v>
      </c>
      <c r="V15" s="119">
        <f>V5*'Model input'!$C$44+V6*'Model input'!$D$44+SROI!V7*'Model input'!$E$44+SROI!V8*'Model input'!$F$44+SROI!V9*'Model input'!$G$44+SROI!V10*'Model input'!$H$44+SROI!V11*'Model input'!$I$44+SROI!V12*'Model input'!$J$44+SROI!V13*'Model input'!$K$44+V14</f>
        <v>12.159464200000002</v>
      </c>
      <c r="W15" s="119">
        <f>W5*'Model input'!$C$44+W6*'Model input'!$D$44+SROI!W7*'Model input'!$E$44+SROI!W8*'Model input'!$F$44+SROI!W9*'Model input'!$G$44+SROI!W10*'Model input'!$H$44+SROI!W11*'Model input'!$I$44+SROI!W12*'Model input'!$J$44+SROI!W13*'Model input'!$K$44+W14</f>
        <v>17.717301705999997</v>
      </c>
      <c r="X15" s="119">
        <f>X5*'Model input'!$C$44+X6*'Model input'!$D$44+SROI!X7*'Model input'!$E$44+SROI!X8*'Model input'!$F$44+SROI!X9*'Model input'!$G$44+SROI!X10*'Model input'!$H$44+SROI!X11*'Model input'!$I$44+SROI!X12*'Model input'!$J$44+SROI!X13*'Model input'!$K$44+X14</f>
        <v>18.462590586579999</v>
      </c>
      <c r="Y15" s="119">
        <f>Y5*'Model input'!$C$44+Y6*'Model input'!$D$44+SROI!Y7*'Model input'!$E$44+SROI!Y8*'Model input'!$F$44+SROI!Y9*'Model input'!$G$44+SROI!Y10*'Model input'!$H$44+SROI!Y11*'Model input'!$I$44+SROI!Y12*'Model input'!$J$44+SROI!Y13*'Model input'!$K$44+Y14</f>
        <v>16.108209245519401</v>
      </c>
      <c r="Z15" s="119">
        <f>Z5*'Model input'!$C$44+Z6*'Model input'!$D$44+SROI!Z7*'Model input'!$E$44+SROI!Z8*'Model input'!$F$44+SROI!Z9*'Model input'!$G$44+SROI!Z10*'Model input'!$H$44+SROI!Z11*'Model input'!$I$44+SROI!Z12*'Model input'!$J$44+SROI!Z13*'Model input'!$K$44+Z14</f>
        <v>13.728634598333043</v>
      </c>
      <c r="AA15" s="119">
        <f>AA5*'Model input'!$C$44+AA6*'Model input'!$D$44+SROI!AA7*'Model input'!$E$44+SROI!AA8*'Model input'!$F$44+SROI!AA9*'Model input'!$G$44+SROI!AA10*'Model input'!$H$44+SROI!AA11*'Model input'!$I$44+SROI!AA12*'Model input'!$J$44+SROI!AA13*'Model input'!$K$44+AA14</f>
        <v>13.33013017644973</v>
      </c>
      <c r="AB15" s="119">
        <f>AB5*'Model input'!$C$44+AB6*'Model input'!$D$44+SROI!AB7*'Model input'!$E$44+SROI!AB8*'Model input'!$F$44+SROI!AB9*'Model input'!$G$44+SROI!AB10*'Model input'!$H$44+SROI!AB11*'Model input'!$I$44+SROI!AB12*'Model input'!$J$44+SROI!AB13*'Model input'!$K$44+AB14</f>
        <v>16.212521064098251</v>
      </c>
      <c r="AC15" s="119">
        <f>AC5*'Model input'!$C$44+AC6*'Model input'!$D$44+SROI!AC7*'Model input'!$E$44+SROI!AC8*'Model input'!$F$44+SROI!AC9*'Model input'!$G$44+SROI!AC10*'Model input'!$H$44+SROI!AC11*'Model input'!$I$44+SROI!AC12*'Model input'!$J$44+SROI!AC13*'Model input'!$K$44+AC14</f>
        <v>16.314644589611373</v>
      </c>
      <c r="AD15" s="119">
        <f>AD5*'Model input'!$C$44+AD6*'Model input'!$D$44+SROI!AD7*'Model input'!$E$44+SROI!AD8*'Model input'!$F$44+SROI!AD9*'Model input'!$G$44+SROI!AD10*'Model input'!$H$44+SROI!AD11*'Model input'!$I$44+SROI!AD12*'Model input'!$J$44+SROI!AD13*'Model input'!$K$44+AD14</f>
        <v>9.3006237245731871</v>
      </c>
      <c r="AE15" s="4"/>
    </row>
    <row r="16" spans="1:31" x14ac:dyDescent="0.35">
      <c r="B16" s="401"/>
      <c r="C16" s="9" t="s">
        <v>112</v>
      </c>
      <c r="D16" s="67" t="s">
        <v>91</v>
      </c>
      <c r="E16" s="328">
        <v>0.6</v>
      </c>
      <c r="F16" s="84">
        <f>E16+E16*'Sensitivity analysis'!$C$9</f>
        <v>0.55799999999999994</v>
      </c>
      <c r="G16" s="84">
        <f>F16+F16*'Sensitivity analysis'!$C$9</f>
        <v>0.51893999999999996</v>
      </c>
      <c r="H16" s="84">
        <f>G16+G16*'Sensitivity analysis'!$C$9</f>
        <v>0.48261419999999994</v>
      </c>
      <c r="I16" s="84">
        <f>H16+H16*'Sensitivity analysis'!$C$9</f>
        <v>0.44883120599999993</v>
      </c>
      <c r="J16" s="84">
        <f>I16+I16*'Sensitivity analysis'!$C$9</f>
        <v>0.41741302157999993</v>
      </c>
      <c r="K16" s="84">
        <f>J16+J16*'Sensitivity analysis'!$C$9</f>
        <v>0.38819411006939991</v>
      </c>
      <c r="L16" s="84">
        <f>K16+K16*'Sensitivity analysis'!$C$9</f>
        <v>0.36102052236454191</v>
      </c>
      <c r="M16" s="84">
        <f>L16+L16*'Sensitivity analysis'!$C$9</f>
        <v>0.33574908579902396</v>
      </c>
      <c r="N16" s="84">
        <f>M16+M16*'Sensitivity analysis'!$C$9</f>
        <v>0.3122466497930923</v>
      </c>
      <c r="O16" s="135"/>
      <c r="P16" s="6"/>
      <c r="Q16" s="4"/>
      <c r="AE16" s="4"/>
    </row>
    <row r="17" spans="2:31" x14ac:dyDescent="0.35">
      <c r="B17" s="401"/>
      <c r="C17" s="9" t="s">
        <v>114</v>
      </c>
      <c r="D17" s="67" t="s">
        <v>91</v>
      </c>
      <c r="E17" s="68">
        <f t="shared" ref="E17:N17" si="3">E14+(E15-E16)</f>
        <v>8.2200000000000006</v>
      </c>
      <c r="F17" s="68">
        <f t="shared" si="3"/>
        <v>1.6346000000000003</v>
      </c>
      <c r="G17" s="68">
        <f t="shared" si="3"/>
        <v>1.0551780000000002</v>
      </c>
      <c r="H17" s="68">
        <f t="shared" si="3"/>
        <v>0.98131554000000021</v>
      </c>
      <c r="I17" s="68">
        <f t="shared" si="3"/>
        <v>0.9126234522000003</v>
      </c>
      <c r="J17" s="68">
        <f t="shared" si="3"/>
        <v>0.84873981054600034</v>
      </c>
      <c r="K17" s="68">
        <f t="shared" si="3"/>
        <v>0.78932802380778022</v>
      </c>
      <c r="L17" s="68">
        <f t="shared" si="3"/>
        <v>0.73407506214123552</v>
      </c>
      <c r="M17" s="68">
        <f t="shared" si="3"/>
        <v>0.68268980779134902</v>
      </c>
      <c r="N17" s="68">
        <f t="shared" si="3"/>
        <v>0.63490152124595456</v>
      </c>
      <c r="O17" s="135"/>
      <c r="P17" s="6"/>
      <c r="Q17" s="4"/>
      <c r="R17" s="4"/>
      <c r="S17" s="4"/>
      <c r="T17" s="4"/>
      <c r="U17" s="4"/>
      <c r="V17" s="4"/>
      <c r="W17" s="4"/>
      <c r="X17" s="4"/>
      <c r="Y17" s="4"/>
      <c r="Z17" s="4"/>
      <c r="AA17" s="4"/>
      <c r="AB17" s="4"/>
      <c r="AC17" s="4"/>
      <c r="AD17" s="4"/>
      <c r="AE17" s="4"/>
    </row>
    <row r="18" spans="2:31" x14ac:dyDescent="0.35">
      <c r="B18" s="401"/>
      <c r="C18" s="9" t="s">
        <v>92</v>
      </c>
      <c r="D18" s="67" t="s">
        <v>91</v>
      </c>
      <c r="E18" s="68">
        <f t="shared" ref="E18:N18" si="4">T15</f>
        <v>-9.0420000000000016</v>
      </c>
      <c r="F18" s="68">
        <f t="shared" si="4"/>
        <v>-5.0860600000000016</v>
      </c>
      <c r="G18" s="68">
        <f t="shared" si="4"/>
        <v>12.159464200000002</v>
      </c>
      <c r="H18" s="68">
        <f t="shared" si="4"/>
        <v>17.717301705999997</v>
      </c>
      <c r="I18" s="68">
        <f t="shared" si="4"/>
        <v>18.462590586579999</v>
      </c>
      <c r="J18" s="68">
        <f t="shared" si="4"/>
        <v>16.108209245519401</v>
      </c>
      <c r="K18" s="68">
        <f t="shared" si="4"/>
        <v>13.728634598333043</v>
      </c>
      <c r="L18" s="68">
        <f t="shared" si="4"/>
        <v>13.33013017644973</v>
      </c>
      <c r="M18" s="68">
        <f t="shared" si="4"/>
        <v>16.212521064098251</v>
      </c>
      <c r="N18" s="68">
        <f t="shared" si="4"/>
        <v>16.314644589611373</v>
      </c>
      <c r="O18" s="135"/>
      <c r="P18" s="6"/>
      <c r="Q18" s="4"/>
      <c r="R18" s="4"/>
      <c r="S18" s="4"/>
      <c r="T18" s="4"/>
      <c r="U18" s="4"/>
      <c r="V18" s="4"/>
      <c r="W18" s="4"/>
      <c r="X18" s="4"/>
      <c r="Y18" s="4"/>
      <c r="Z18" s="4"/>
      <c r="AA18" s="4"/>
      <c r="AB18" s="4"/>
      <c r="AC18" s="4"/>
      <c r="AD18" s="4"/>
      <c r="AE18" s="4"/>
    </row>
    <row r="19" spans="2:31" x14ac:dyDescent="0.35">
      <c r="B19" s="401"/>
      <c r="C19" s="9" t="s">
        <v>115</v>
      </c>
      <c r="D19" s="67" t="s">
        <v>91</v>
      </c>
      <c r="E19" s="68">
        <f>E18*'Model input'!D51</f>
        <v>-120.92173127065355</v>
      </c>
      <c r="F19" s="68">
        <f>F18*'Model input'!E51</f>
        <v>-72.862938861950653</v>
      </c>
      <c r="G19" s="68">
        <f>G18*'Model input'!F51</f>
        <v>261.27137271019336</v>
      </c>
      <c r="H19" s="68">
        <f>H18*'Model input'!G51</f>
        <v>413.74643802744953</v>
      </c>
      <c r="I19" s="68">
        <f>I18*'Model input'!H51</f>
        <v>202.20792401376895</v>
      </c>
      <c r="J19" s="68">
        <f>J18*'Model input'!I51</f>
        <v>268.97941968898789</v>
      </c>
      <c r="K19" s="68">
        <f>K18*'Model input'!J51</f>
        <v>229.24461130953688</v>
      </c>
      <c r="L19" s="68">
        <f>L18*'Model input'!K51</f>
        <v>222.59027211466426</v>
      </c>
      <c r="M19" s="68">
        <f>M18*'Model input'!L51</f>
        <v>270.72124784631995</v>
      </c>
      <c r="N19" s="68">
        <f>N18*'Model input'!M51</f>
        <v>272.42653526905156</v>
      </c>
      <c r="O19" s="135"/>
      <c r="P19" s="6"/>
      <c r="Q19" s="4"/>
      <c r="R19" s="4"/>
      <c r="S19" s="4"/>
      <c r="T19" s="4"/>
      <c r="U19" s="4"/>
      <c r="V19" s="4"/>
      <c r="W19" s="4"/>
      <c r="X19" s="4"/>
      <c r="Y19" s="4"/>
      <c r="Z19" s="4"/>
      <c r="AA19" s="4"/>
      <c r="AB19" s="4"/>
      <c r="AC19" s="4"/>
      <c r="AD19" s="4"/>
      <c r="AE19" s="4"/>
    </row>
    <row r="20" spans="2:31" x14ac:dyDescent="0.35">
      <c r="B20" s="401"/>
      <c r="C20" s="9" t="s">
        <v>116</v>
      </c>
      <c r="D20" s="67" t="s">
        <v>91</v>
      </c>
      <c r="E20" s="68">
        <f>E18/'Model input'!$C$29</f>
        <v>-0.18084000000000003</v>
      </c>
      <c r="F20" s="68">
        <f>F18/'Model input'!$C$29</f>
        <v>-0.10172120000000003</v>
      </c>
      <c r="G20" s="68">
        <f>G18/'Model input'!$C$29</f>
        <v>0.24318928400000003</v>
      </c>
      <c r="H20" s="68">
        <f>H18/'Model input'!$C$29</f>
        <v>0.35434603411999993</v>
      </c>
      <c r="I20" s="68">
        <f>I18/'Model input'!$C$29</f>
        <v>0.36925181173159999</v>
      </c>
      <c r="J20" s="68">
        <f>J18/'Model input'!$C$29</f>
        <v>0.32216418491038801</v>
      </c>
      <c r="K20" s="68">
        <f>K18/'Model input'!$C$29</f>
        <v>0.27457269196666084</v>
      </c>
      <c r="L20" s="68">
        <f>L18/'Model input'!$C$29</f>
        <v>0.26660260352899462</v>
      </c>
      <c r="M20" s="68">
        <f>M18/'Model input'!$C$29</f>
        <v>0.32425042128196502</v>
      </c>
      <c r="N20" s="68">
        <f>N18/'Model input'!$C$29</f>
        <v>0.32629289179222742</v>
      </c>
      <c r="O20" s="135"/>
      <c r="P20" s="6"/>
      <c r="Q20" s="4"/>
      <c r="R20" s="4"/>
      <c r="S20" s="4"/>
      <c r="T20" s="4"/>
      <c r="U20" s="4"/>
      <c r="V20" s="4"/>
      <c r="W20" s="4"/>
      <c r="X20" s="4"/>
      <c r="Y20" s="4"/>
      <c r="Z20" s="4"/>
      <c r="AA20" s="4"/>
      <c r="AB20" s="4"/>
      <c r="AC20" s="4"/>
      <c r="AD20" s="4"/>
      <c r="AE20" s="4"/>
    </row>
    <row r="21" spans="2:31" x14ac:dyDescent="0.35">
      <c r="B21" s="401"/>
      <c r="C21" s="9" t="s">
        <v>117</v>
      </c>
      <c r="D21" s="67" t="s">
        <v>118</v>
      </c>
      <c r="E21" s="68">
        <f>E20*'Model input'!D58</f>
        <v>-7.5777618262942887</v>
      </c>
      <c r="F21" s="68">
        <f>F20*'Model input'!E58</f>
        <v>-4.6018698228600412</v>
      </c>
      <c r="G21" s="68">
        <f>G20*'Model input'!F58</f>
        <v>11.586817398452052</v>
      </c>
      <c r="H21" s="68">
        <f>H20*'Model input'!G58</f>
        <v>15.39136749462112</v>
      </c>
      <c r="I21" s="68">
        <f>I20*'Model input'!H58</f>
        <v>15.968250248633217</v>
      </c>
      <c r="J21" s="68">
        <f>J20*'Model input'!I58</f>
        <v>13.931951482299988</v>
      </c>
      <c r="K21" s="68">
        <f>K20*'Model input'!J58</f>
        <v>11.873863086016403</v>
      </c>
      <c r="L21" s="68">
        <f>L20*'Model input'!K58</f>
        <v>11.529197568792345</v>
      </c>
      <c r="M21" s="68">
        <f>M20*'Model input'!L58</f>
        <v>14.022170523617399</v>
      </c>
      <c r="N21" s="68">
        <f>N20*'Model input'!M58</f>
        <v>14.110496915518844</v>
      </c>
      <c r="O21" s="135"/>
      <c r="P21" s="6"/>
      <c r="Q21" s="4"/>
      <c r="R21" s="4"/>
      <c r="S21" s="4"/>
      <c r="T21" s="4"/>
      <c r="U21" s="4"/>
      <c r="V21" s="4"/>
      <c r="W21" s="4"/>
      <c r="X21" s="4"/>
      <c r="Y21" s="4"/>
      <c r="Z21" s="4"/>
      <c r="AA21" s="4"/>
      <c r="AB21" s="4"/>
      <c r="AC21" s="4"/>
      <c r="AD21" s="4"/>
      <c r="AE21" s="4"/>
    </row>
    <row r="22" spans="2:31" x14ac:dyDescent="0.35">
      <c r="B22" s="401"/>
      <c r="C22" s="9" t="s">
        <v>119</v>
      </c>
      <c r="D22" s="67" t="s">
        <v>91</v>
      </c>
      <c r="E22" s="68">
        <f>E17*'Model input'!$C$34</f>
        <v>8.2200000000000009E-2</v>
      </c>
      <c r="F22" s="68">
        <f>F17*'Model input'!$C$34</f>
        <v>1.6346000000000003E-2</v>
      </c>
      <c r="G22" s="68">
        <f>G17*'Model input'!$C$34</f>
        <v>1.0551780000000002E-2</v>
      </c>
      <c r="H22" s="68">
        <f>H17*'Model input'!$C$34</f>
        <v>9.8131554000000024E-3</v>
      </c>
      <c r="I22" s="68">
        <f>I17*'Model input'!$C$34</f>
        <v>9.1262345220000027E-3</v>
      </c>
      <c r="J22" s="68">
        <f>J17*'Model input'!$C$34</f>
        <v>8.4873981054600037E-3</v>
      </c>
      <c r="K22" s="68">
        <f>K17*'Model input'!$C$34</f>
        <v>7.893280238077803E-3</v>
      </c>
      <c r="L22" s="68">
        <f>L17*'Model input'!$C$34</f>
        <v>7.3407506214123557E-3</v>
      </c>
      <c r="M22" s="68">
        <f>M17*'Model input'!$C$34</f>
        <v>6.8268980779134904E-3</v>
      </c>
      <c r="N22" s="68">
        <f>N17*'Model input'!$C$34</f>
        <v>6.349015212459546E-3</v>
      </c>
      <c r="O22" s="135"/>
      <c r="P22" s="6"/>
      <c r="Q22" s="4"/>
      <c r="R22" s="4"/>
      <c r="S22" s="4"/>
      <c r="T22" s="4"/>
      <c r="U22" s="4"/>
      <c r="V22" s="4"/>
      <c r="W22" s="4"/>
      <c r="X22" s="4"/>
      <c r="Y22" s="4"/>
      <c r="Z22" s="4"/>
      <c r="AA22" s="4"/>
      <c r="AB22" s="4"/>
      <c r="AC22" s="4"/>
      <c r="AD22" s="4"/>
      <c r="AE22" s="4"/>
    </row>
    <row r="23" spans="2:31" x14ac:dyDescent="0.35">
      <c r="B23" s="401"/>
      <c r="C23" s="9" t="s">
        <v>120</v>
      </c>
      <c r="D23" s="67" t="s">
        <v>91</v>
      </c>
      <c r="E23" s="69">
        <f>E22*'Model input'!D58</f>
        <v>3.4444371937701312</v>
      </c>
      <c r="F23" s="69">
        <f>F22*'Model input'!E58</f>
        <v>0.73949347947596211</v>
      </c>
      <c r="G23" s="69">
        <f>G22*'Model input'!F58</f>
        <v>0.50274233336958385</v>
      </c>
      <c r="H23" s="69">
        <f>H22*'Model input'!G58</f>
        <v>0.42624402843486175</v>
      </c>
      <c r="I23" s="69">
        <f>I22*'Model input'!H58</f>
        <v>0.39466291577992069</v>
      </c>
      <c r="J23" s="69">
        <f>J22*'Model input'!I58</f>
        <v>0.3670365116753263</v>
      </c>
      <c r="K23" s="69">
        <f>K22*'Model input'!J58</f>
        <v>0.34134395585805344</v>
      </c>
      <c r="L23" s="69">
        <f>L22*'Model input'!K58</f>
        <v>0.31744987894798965</v>
      </c>
      <c r="M23" s="69">
        <f>M22*'Model input'!L58</f>
        <v>0.29522838742163038</v>
      </c>
      <c r="N23" s="69">
        <f>N22*'Model input'!M58</f>
        <v>0.27456240030211626</v>
      </c>
      <c r="O23" s="135"/>
      <c r="P23" s="6"/>
      <c r="Q23" s="4"/>
      <c r="R23" s="4"/>
      <c r="S23" s="4"/>
      <c r="T23" s="4"/>
      <c r="U23" s="4"/>
      <c r="V23" s="4"/>
      <c r="W23" s="4"/>
      <c r="X23" s="4"/>
      <c r="Y23" s="4"/>
      <c r="Z23" s="4"/>
      <c r="AA23" s="4"/>
      <c r="AB23" s="4"/>
      <c r="AC23" s="4"/>
      <c r="AD23" s="4"/>
      <c r="AE23" s="4"/>
    </row>
    <row r="24" spans="2:31" x14ac:dyDescent="0.35">
      <c r="B24" s="401"/>
      <c r="C24" s="87" t="s">
        <v>99</v>
      </c>
      <c r="D24" s="88" t="s">
        <v>91</v>
      </c>
      <c r="E24" s="89">
        <f t="shared" ref="E24:N24" si="5">E19-E21-E23</f>
        <v>-116.78840663812939</v>
      </c>
      <c r="F24" s="89">
        <f t="shared" si="5"/>
        <v>-69.000562518566582</v>
      </c>
      <c r="G24" s="89">
        <f t="shared" si="5"/>
        <v>249.18181297837174</v>
      </c>
      <c r="H24" s="89">
        <f t="shared" si="5"/>
        <v>397.92882650439356</v>
      </c>
      <c r="I24" s="89">
        <f t="shared" si="5"/>
        <v>185.84501084935582</v>
      </c>
      <c r="J24" s="89">
        <f t="shared" si="5"/>
        <v>254.68043169501257</v>
      </c>
      <c r="K24" s="89">
        <f t="shared" si="5"/>
        <v>217.02940426766241</v>
      </c>
      <c r="L24" s="89">
        <f t="shared" si="5"/>
        <v>210.74362466692392</v>
      </c>
      <c r="M24" s="89">
        <f t="shared" si="5"/>
        <v>256.40384893528096</v>
      </c>
      <c r="N24" s="89">
        <f t="shared" si="5"/>
        <v>258.04147595323059</v>
      </c>
      <c r="O24" s="135"/>
      <c r="P24" s="6"/>
      <c r="Q24" s="4"/>
      <c r="R24" s="4"/>
      <c r="S24" s="4"/>
      <c r="T24" s="4"/>
      <c r="U24" s="4"/>
      <c r="V24" s="4"/>
      <c r="W24" s="4"/>
      <c r="X24" s="4"/>
      <c r="Y24" s="4"/>
      <c r="Z24" s="4"/>
      <c r="AA24" s="4"/>
      <c r="AB24" s="4"/>
      <c r="AC24" s="4"/>
      <c r="AD24" s="4"/>
      <c r="AE24" s="4"/>
    </row>
    <row r="25" spans="2:31" x14ac:dyDescent="0.35">
      <c r="B25" s="401"/>
      <c r="C25" s="87" t="s">
        <v>101</v>
      </c>
      <c r="D25" s="88"/>
      <c r="E25" s="90">
        <f>E24/(1+'Model input'!$C$13)^(E4-2018)</f>
        <v>-106.1712787619358</v>
      </c>
      <c r="F25" s="90">
        <f>F24/(1+'Model input'!$C$13)^(F4-2018)</f>
        <v>-57.025258279807083</v>
      </c>
      <c r="G25" s="90">
        <f>G24/(1+'Model input'!$C$13)^(G4-2018)</f>
        <v>187.21398420613949</v>
      </c>
      <c r="H25" s="90">
        <f>H24/(1+'Model input'!$C$13)^(H4-2018)</f>
        <v>271.79074278013348</v>
      </c>
      <c r="I25" s="90">
        <f>I24/(1+'Model input'!$C$13)^(I4-2018)</f>
        <v>115.39513002052502</v>
      </c>
      <c r="J25" s="90">
        <f>J24/(1+'Model input'!$C$13)^(J4-2018)</f>
        <v>143.7604641866763</v>
      </c>
      <c r="K25" s="90">
        <f>K24/(1+'Model input'!$C$13)^(K4-2018)</f>
        <v>111.37040069472489</v>
      </c>
      <c r="L25" s="90">
        <f>L24/(1+'Model input'!$C$13)^(L4-2018)</f>
        <v>98.313456239269982</v>
      </c>
      <c r="M25" s="90">
        <f>M24/(1+'Model input'!$C$13)^(M4-2018)</f>
        <v>108.74026167499099</v>
      </c>
      <c r="N25" s="90">
        <f>N24/(1+'Model input'!$C$13)^(N4-2018)</f>
        <v>99.486159448259869</v>
      </c>
      <c r="O25" s="135"/>
      <c r="P25" s="6"/>
      <c r="Q25" s="4"/>
      <c r="R25" s="4"/>
      <c r="S25" s="4"/>
      <c r="T25" s="4"/>
      <c r="U25" s="4"/>
      <c r="V25" s="4"/>
      <c r="W25" s="4"/>
      <c r="X25" s="4"/>
      <c r="Y25" s="4"/>
      <c r="Z25" s="4"/>
      <c r="AA25" s="4"/>
      <c r="AB25" s="4"/>
      <c r="AC25" s="4"/>
      <c r="AD25" s="4"/>
      <c r="AE25" s="4"/>
    </row>
    <row r="26" spans="2:31" x14ac:dyDescent="0.35">
      <c r="B26" s="401"/>
      <c r="C26" s="87" t="s">
        <v>103</v>
      </c>
      <c r="D26" s="91"/>
      <c r="E26" s="90">
        <f>E25/('Model input'!$D$79/'Model input'!$G$79)</f>
        <v>-170.47031145239819</v>
      </c>
      <c r="F26" s="90">
        <f>F25/('Model input'!$D$79/'Model input'!$G$79)</f>
        <v>-91.56067114355362</v>
      </c>
      <c r="G26" s="90">
        <f>G25/('Model input'!$D$79/'Model input'!$G$79)</f>
        <v>300.59378174605558</v>
      </c>
      <c r="H26" s="90">
        <f>H25/('Model input'!$D$79/'Model input'!$G$79)</f>
        <v>436.39158454045952</v>
      </c>
      <c r="I26" s="90">
        <f>I25/('Model input'!$D$79/'Model input'!$G$79)</f>
        <v>185.28027526914775</v>
      </c>
      <c r="J26" s="90">
        <f>J25/('Model input'!$D$79/'Model input'!$G$79)</f>
        <v>230.82411166389929</v>
      </c>
      <c r="K26" s="90">
        <f>K25/('Model input'!$D$79/'Model input'!$G$79)</f>
        <v>178.81810518246019</v>
      </c>
      <c r="L26" s="90">
        <f>L25/('Model input'!$D$79/'Model input'!$G$79)</f>
        <v>157.8536653274129</v>
      </c>
      <c r="M26" s="90">
        <f>M25/('Model input'!$D$79/'Model input'!$G$79)</f>
        <v>174.59511170356947</v>
      </c>
      <c r="N26" s="90">
        <f>N25/('Model input'!$D$79/'Model input'!$G$79)</f>
        <v>159.7365764462098</v>
      </c>
      <c r="O26" s="138"/>
      <c r="P26" s="6"/>
      <c r="Q26" s="4"/>
      <c r="R26" s="4"/>
      <c r="S26" s="4"/>
      <c r="T26" s="4"/>
      <c r="U26" s="4"/>
      <c r="V26" s="4"/>
      <c r="W26" s="4"/>
      <c r="X26" s="4"/>
      <c r="Y26" s="4"/>
      <c r="Z26" s="4"/>
      <c r="AA26" s="4"/>
      <c r="AB26" s="4"/>
      <c r="AC26" s="4"/>
      <c r="AD26" s="4"/>
      <c r="AE26" s="4"/>
    </row>
    <row r="27" spans="2:31" ht="15" thickBot="1" x14ac:dyDescent="0.4">
      <c r="B27" s="402"/>
      <c r="C27" s="93" t="s">
        <v>105</v>
      </c>
      <c r="D27" s="94"/>
      <c r="E27" s="95">
        <f>E26*'Model input'!$E$84</f>
        <v>-2.9661834192717285</v>
      </c>
      <c r="F27" s="95">
        <f>F26*'Model input'!$E$84</f>
        <v>-1.5931556778978329</v>
      </c>
      <c r="G27" s="95">
        <f>G26*'Model input'!$E$84</f>
        <v>5.2303318023813672</v>
      </c>
      <c r="H27" s="95">
        <f>H26*'Model input'!$E$84</f>
        <v>7.5932135710039947</v>
      </c>
      <c r="I27" s="95">
        <f>I26*'Model input'!$E$84</f>
        <v>3.2238767896831706</v>
      </c>
      <c r="J27" s="95">
        <f>J26*'Model input'!$E$84</f>
        <v>4.0163395429518474</v>
      </c>
      <c r="K27" s="95">
        <f>K26*'Model input'!$E$84</f>
        <v>3.1114350301748068</v>
      </c>
      <c r="L27" s="95">
        <f>L26*'Model input'!$E$84</f>
        <v>2.7466537766969843</v>
      </c>
      <c r="M27" s="95">
        <f>M26*'Model input'!$E$84</f>
        <v>3.0379549436421085</v>
      </c>
      <c r="N27" s="95">
        <f>N26*'Model input'!$E$84</f>
        <v>2.77941643016405</v>
      </c>
      <c r="O27" s="139"/>
      <c r="P27" s="6"/>
      <c r="Q27" s="4"/>
      <c r="R27" s="4"/>
      <c r="S27" s="4"/>
      <c r="T27" s="4"/>
      <c r="U27" s="4"/>
      <c r="V27" s="4"/>
      <c r="W27" s="4"/>
      <c r="X27" s="4"/>
      <c r="Y27" s="4"/>
      <c r="Z27" s="4"/>
      <c r="AA27" s="4"/>
      <c r="AB27" s="4"/>
      <c r="AC27" s="4"/>
      <c r="AD27" s="4"/>
      <c r="AE27" s="4"/>
    </row>
    <row r="28" spans="2:31" ht="13.5" customHeight="1" collapsed="1" x14ac:dyDescent="0.35">
      <c r="B28" s="96" t="s">
        <v>121</v>
      </c>
      <c r="C28" s="97"/>
      <c r="D28" s="98" t="s">
        <v>91</v>
      </c>
      <c r="E28" s="99">
        <f t="shared" ref="E28:N28" si="6">E10+E24</f>
        <v>-116.78840663812939</v>
      </c>
      <c r="F28" s="99">
        <f t="shared" si="6"/>
        <v>10.560358363949362</v>
      </c>
      <c r="G28" s="99">
        <f t="shared" si="6"/>
        <v>370.90839727046597</v>
      </c>
      <c r="H28" s="99">
        <f t="shared" si="6"/>
        <v>521.88378728189025</v>
      </c>
      <c r="I28" s="99">
        <f t="shared" si="6"/>
        <v>237.56443194589622</v>
      </c>
      <c r="J28" s="99">
        <f t="shared" si="6"/>
        <v>330.1776229836446</v>
      </c>
      <c r="K28" s="99">
        <f t="shared" si="6"/>
        <v>287.24179216609025</v>
      </c>
      <c r="L28" s="99">
        <f t="shared" si="6"/>
        <v>276.04114541246179</v>
      </c>
      <c r="M28" s="99">
        <f t="shared" si="6"/>
        <v>317.13054322863115</v>
      </c>
      <c r="N28" s="99">
        <f t="shared" si="6"/>
        <v>314.51730164604629</v>
      </c>
      <c r="O28" s="140"/>
      <c r="P28" s="6"/>
      <c r="Q28" s="4"/>
      <c r="R28" s="4"/>
      <c r="S28" s="4"/>
      <c r="T28" s="4"/>
      <c r="U28" s="4"/>
      <c r="V28" s="4"/>
      <c r="W28" s="4"/>
      <c r="X28" s="4"/>
      <c r="Y28" s="4"/>
      <c r="Z28" s="4"/>
      <c r="AA28" s="4"/>
      <c r="AB28" s="4"/>
      <c r="AC28" s="4"/>
      <c r="AD28" s="4"/>
      <c r="AE28" s="4"/>
    </row>
    <row r="29" spans="2:31" x14ac:dyDescent="0.35">
      <c r="B29" s="96" t="s">
        <v>122</v>
      </c>
      <c r="C29" s="100"/>
      <c r="D29" s="101" t="s">
        <v>91</v>
      </c>
      <c r="E29" s="102">
        <f t="shared" ref="E29:N29" si="7">E12+E26</f>
        <v>-170.47031145239819</v>
      </c>
      <c r="F29" s="102">
        <f t="shared" si="7"/>
        <v>14.013124879372796</v>
      </c>
      <c r="G29" s="102">
        <f t="shared" si="7"/>
        <v>447.43537453343345</v>
      </c>
      <c r="H29" s="102">
        <f t="shared" si="7"/>
        <v>572.32770713937111</v>
      </c>
      <c r="I29" s="102">
        <f t="shared" si="7"/>
        <v>236.84253423823856</v>
      </c>
      <c r="J29" s="102">
        <f t="shared" si="7"/>
        <v>299.24936128490987</v>
      </c>
      <c r="K29" s="102">
        <f t="shared" si="7"/>
        <v>236.66854349840548</v>
      </c>
      <c r="L29" s="102">
        <f t="shared" si="7"/>
        <v>206.76358135816665</v>
      </c>
      <c r="M29" s="102">
        <f t="shared" si="7"/>
        <v>215.94622252957038</v>
      </c>
      <c r="N29" s="102">
        <f t="shared" si="7"/>
        <v>194.69706105364691</v>
      </c>
      <c r="O29" s="141"/>
      <c r="P29" s="6"/>
      <c r="Q29" s="4"/>
      <c r="R29" s="4"/>
      <c r="S29" s="4"/>
      <c r="T29" s="4"/>
      <c r="U29" s="4"/>
      <c r="V29" s="4"/>
      <c r="W29" s="4"/>
      <c r="X29" s="4"/>
      <c r="Y29" s="4"/>
      <c r="Z29" s="4"/>
      <c r="AA29" s="4"/>
      <c r="AB29" s="4"/>
      <c r="AC29" s="4"/>
      <c r="AD29" s="4"/>
      <c r="AE29" s="4"/>
    </row>
    <row r="30" spans="2:31" x14ac:dyDescent="0.35">
      <c r="B30" s="96" t="s">
        <v>123</v>
      </c>
      <c r="C30" s="100"/>
      <c r="D30" s="101" t="s">
        <v>91</v>
      </c>
      <c r="E30" s="102">
        <f t="shared" ref="E30:N30" si="8">E13+E27</f>
        <v>-2.9661834192717285</v>
      </c>
      <c r="F30" s="102">
        <f t="shared" si="8"/>
        <v>0.24382837290108661</v>
      </c>
      <c r="G30" s="102">
        <f t="shared" si="8"/>
        <v>7.785375516881742</v>
      </c>
      <c r="H30" s="102">
        <f t="shared" si="8"/>
        <v>9.9585021042250581</v>
      </c>
      <c r="I30" s="102">
        <f t="shared" si="8"/>
        <v>4.1210600957453503</v>
      </c>
      <c r="J30" s="102">
        <f t="shared" si="8"/>
        <v>5.2069388863574311</v>
      </c>
      <c r="K30" s="102">
        <f t="shared" si="8"/>
        <v>4.1180326568722547</v>
      </c>
      <c r="L30" s="102">
        <f t="shared" si="8"/>
        <v>3.5976863156320995</v>
      </c>
      <c r="M30" s="102">
        <f t="shared" si="8"/>
        <v>3.7574642720145239</v>
      </c>
      <c r="N30" s="102">
        <f t="shared" si="8"/>
        <v>3.3877288623334558</v>
      </c>
      <c r="O30" s="141"/>
      <c r="P30" s="6"/>
      <c r="Q30" s="4"/>
      <c r="R30" s="4"/>
      <c r="S30" s="4"/>
      <c r="T30" s="4"/>
      <c r="U30" s="4"/>
      <c r="V30" s="4"/>
      <c r="W30" s="4"/>
      <c r="X30" s="4"/>
      <c r="Y30" s="4"/>
      <c r="Z30" s="4"/>
      <c r="AA30" s="4"/>
      <c r="AB30" s="4"/>
      <c r="AC30" s="4"/>
      <c r="AD30" s="4"/>
      <c r="AE30" s="4"/>
    </row>
    <row r="31" spans="2:31" ht="35.5" customHeight="1" x14ac:dyDescent="0.35">
      <c r="B31" s="332"/>
      <c r="C31" s="4"/>
      <c r="D31" s="4"/>
      <c r="E31" s="64"/>
      <c r="F31" s="4"/>
      <c r="G31" s="4"/>
      <c r="H31" s="4"/>
      <c r="I31" s="4"/>
      <c r="J31" s="4"/>
      <c r="K31" s="4"/>
      <c r="L31" s="4"/>
      <c r="M31" s="4"/>
      <c r="N31" s="4"/>
      <c r="O31" s="4"/>
      <c r="P31" s="6"/>
      <c r="Q31" s="4"/>
      <c r="AE31" s="4"/>
    </row>
    <row r="32" spans="2:31" ht="20.5" x14ac:dyDescent="0.45">
      <c r="B32" s="330" t="s">
        <v>230</v>
      </c>
      <c r="C32" s="4"/>
      <c r="D32" s="4"/>
      <c r="E32" s="4"/>
      <c r="F32" s="64"/>
      <c r="G32" s="4"/>
      <c r="H32" s="4"/>
      <c r="I32" s="4"/>
      <c r="J32" s="72"/>
      <c r="K32" s="4"/>
      <c r="L32" s="4"/>
      <c r="M32" s="4"/>
      <c r="N32" s="4"/>
      <c r="O32" s="4"/>
      <c r="P32" s="6"/>
      <c r="Q32" s="4"/>
      <c r="R32" s="142" t="s">
        <v>124</v>
      </c>
      <c r="S32" s="4"/>
      <c r="T32" s="4"/>
      <c r="U32" s="4"/>
      <c r="V32" s="4"/>
      <c r="W32" s="4"/>
      <c r="X32" s="4"/>
      <c r="Y32" s="4"/>
      <c r="Z32" s="4"/>
      <c r="AA32" s="4"/>
      <c r="AB32" s="4"/>
      <c r="AC32" s="4"/>
      <c r="AD32" s="4"/>
      <c r="AE32" s="4"/>
    </row>
    <row r="33" spans="2:31" ht="16" thickBot="1" x14ac:dyDescent="0.4">
      <c r="B33" s="335" t="s">
        <v>87</v>
      </c>
      <c r="C33" s="334"/>
      <c r="D33" s="334">
        <v>2018</v>
      </c>
      <c r="E33" s="334">
        <v>2019</v>
      </c>
      <c r="F33" s="334">
        <v>2020</v>
      </c>
      <c r="G33" s="334">
        <v>2021</v>
      </c>
      <c r="H33" s="334">
        <v>2022</v>
      </c>
      <c r="I33" s="334">
        <v>2023</v>
      </c>
      <c r="J33" s="334">
        <v>2024</v>
      </c>
      <c r="K33" s="334">
        <v>2025</v>
      </c>
      <c r="L33" s="334">
        <v>2026</v>
      </c>
      <c r="M33" s="334">
        <v>2027</v>
      </c>
      <c r="N33" s="334">
        <v>2028</v>
      </c>
      <c r="O33" s="334">
        <v>2029</v>
      </c>
      <c r="P33" s="6"/>
      <c r="Q33" s="4"/>
      <c r="R33" s="80" t="s">
        <v>87</v>
      </c>
      <c r="S33" s="65">
        <v>2018</v>
      </c>
      <c r="T33" s="65">
        <v>2019</v>
      </c>
      <c r="U33" s="65">
        <v>2020</v>
      </c>
      <c r="V33" s="65">
        <v>2021</v>
      </c>
      <c r="W33" s="65">
        <v>2022</v>
      </c>
      <c r="X33" s="65">
        <v>2023</v>
      </c>
      <c r="Y33" s="65">
        <v>2024</v>
      </c>
      <c r="Z33" s="65">
        <v>2025</v>
      </c>
      <c r="AA33" s="65">
        <v>2026</v>
      </c>
      <c r="AB33" s="65">
        <v>2027</v>
      </c>
      <c r="AC33" s="65">
        <v>2028</v>
      </c>
      <c r="AD33" s="65">
        <v>2029</v>
      </c>
      <c r="AE33" s="4"/>
    </row>
    <row r="34" spans="2:31" x14ac:dyDescent="0.35">
      <c r="B34" s="400" t="s">
        <v>89</v>
      </c>
      <c r="C34" s="85" t="s">
        <v>90</v>
      </c>
      <c r="D34" s="66" t="s">
        <v>91</v>
      </c>
      <c r="E34" s="73" t="s">
        <v>91</v>
      </c>
      <c r="F34" s="206">
        <v>0</v>
      </c>
      <c r="G34" s="206">
        <f>H34</f>
        <v>0.11770000000000001</v>
      </c>
      <c r="H34" s="206">
        <f>I34*(1-'Sensitivity analysis'!C9)</f>
        <v>0.11770000000000001</v>
      </c>
      <c r="I34" s="326">
        <v>0.11</v>
      </c>
      <c r="J34" s="206">
        <f>I34+I34*'Sensitivity analysis'!$C$9</f>
        <v>0.1023</v>
      </c>
      <c r="K34" s="206">
        <f>J34+J34*'Sensitivity analysis'!$C$9</f>
        <v>9.5139000000000001E-2</v>
      </c>
      <c r="L34" s="206">
        <f>K34+K34*'Sensitivity analysis'!$C$9</f>
        <v>8.8479269999999999E-2</v>
      </c>
      <c r="M34" s="206">
        <f>L34+L34*'Sensitivity analysis'!$C$9</f>
        <v>8.2285721100000001E-2</v>
      </c>
      <c r="N34" s="206">
        <f>M34+M34*'Sensitivity analysis'!$C$9</f>
        <v>7.6525720623000004E-2</v>
      </c>
      <c r="O34" s="206">
        <f>N34+N34*'Sensitivity analysis'!$C$9</f>
        <v>7.1168920179389999E-2</v>
      </c>
      <c r="P34" s="6"/>
      <c r="Q34" s="4"/>
      <c r="R34" s="80" t="s">
        <v>94</v>
      </c>
      <c r="S34" s="9"/>
      <c r="T34" s="124"/>
      <c r="U34" s="117">
        <f t="shared" ref="U34:AD34" si="9">F46</f>
        <v>14.27</v>
      </c>
      <c r="V34" s="117">
        <f t="shared" si="9"/>
        <v>0.69999999999999929</v>
      </c>
      <c r="W34" s="117">
        <f t="shared" si="9"/>
        <v>8.8000000000000007</v>
      </c>
      <c r="X34" s="117">
        <f t="shared" si="9"/>
        <v>8.1840000000000011</v>
      </c>
      <c r="Y34" s="117">
        <f t="shared" si="9"/>
        <v>7.6111200000000006</v>
      </c>
      <c r="Z34" s="117">
        <f t="shared" si="9"/>
        <v>7.0783416000000008</v>
      </c>
      <c r="AA34" s="117">
        <f t="shared" si="9"/>
        <v>6.5828576880000007</v>
      </c>
      <c r="AB34" s="117">
        <f t="shared" si="9"/>
        <v>6.1220576498400003</v>
      </c>
      <c r="AC34" s="117">
        <f t="shared" si="9"/>
        <v>5.6935136143512004</v>
      </c>
      <c r="AD34" s="117">
        <f t="shared" si="9"/>
        <v>5.2949676613466163</v>
      </c>
      <c r="AE34" s="4"/>
    </row>
    <row r="35" spans="2:31" x14ac:dyDescent="0.35">
      <c r="B35" s="401"/>
      <c r="C35" s="9" t="s">
        <v>92</v>
      </c>
      <c r="D35" s="67" t="s">
        <v>91</v>
      </c>
      <c r="E35" s="74" t="s">
        <v>91</v>
      </c>
      <c r="F35" s="68">
        <v>0</v>
      </c>
      <c r="G35" s="68">
        <f>'Model input'!$D$21*G34*'Model input'!$C$37</f>
        <v>3.5192300000000003</v>
      </c>
      <c r="H35" s="68">
        <f>'Model input'!$D$21*H34*'Model input'!$C$37</f>
        <v>3.5192300000000003</v>
      </c>
      <c r="I35" s="68">
        <f>'Model input'!$D$21*I34*'Model input'!$C$37</f>
        <v>3.2890000000000001</v>
      </c>
      <c r="J35" s="68">
        <f>'Model input'!$D$21*J34*'Model input'!$C$37</f>
        <v>3.0587700000000004</v>
      </c>
      <c r="K35" s="68">
        <f>'Model input'!$D$21*K34*'Model input'!$C$37</f>
        <v>2.8446560999999999</v>
      </c>
      <c r="L35" s="68">
        <f>'Model input'!$D$21*L34*'Model input'!$C$37</f>
        <v>2.645530173</v>
      </c>
      <c r="M35" s="68">
        <f>'Model input'!$D$21*M34*'Model input'!$C$37</f>
        <v>2.4603430608900005</v>
      </c>
      <c r="N35" s="68">
        <f>'Model input'!$D$21*N34*'Model input'!$C$37</f>
        <v>2.2881190466277004</v>
      </c>
      <c r="O35" s="126">
        <f>'Model input'!$D$21*O34*'Model input'!$C$37</f>
        <v>2.1279507133637607</v>
      </c>
      <c r="P35" s="6"/>
      <c r="Q35" s="4"/>
      <c r="R35" s="80" t="s">
        <v>96</v>
      </c>
      <c r="S35" s="9"/>
      <c r="T35" s="124"/>
      <c r="U35" s="117">
        <f t="shared" ref="U35:AD42" si="10">T34</f>
        <v>0</v>
      </c>
      <c r="V35" s="117">
        <f t="shared" si="10"/>
        <v>14.27</v>
      </c>
      <c r="W35" s="117">
        <f t="shared" si="10"/>
        <v>0.69999999999999929</v>
      </c>
      <c r="X35" s="117">
        <f t="shared" si="10"/>
        <v>8.8000000000000007</v>
      </c>
      <c r="Y35" s="117">
        <f t="shared" si="10"/>
        <v>8.1840000000000011</v>
      </c>
      <c r="Z35" s="117">
        <f t="shared" si="10"/>
        <v>7.6111200000000006</v>
      </c>
      <c r="AA35" s="117">
        <f t="shared" si="10"/>
        <v>7.0783416000000008</v>
      </c>
      <c r="AB35" s="117">
        <f t="shared" si="10"/>
        <v>6.5828576880000007</v>
      </c>
      <c r="AC35" s="117">
        <f t="shared" si="10"/>
        <v>6.1220576498400003</v>
      </c>
      <c r="AD35" s="117">
        <f t="shared" si="10"/>
        <v>5.6935136143512004</v>
      </c>
      <c r="AE35" s="4"/>
    </row>
    <row r="36" spans="2:31" x14ac:dyDescent="0.35">
      <c r="B36" s="401"/>
      <c r="C36" s="9" t="s">
        <v>125</v>
      </c>
      <c r="D36" s="67" t="s">
        <v>91</v>
      </c>
      <c r="E36" s="75" t="s">
        <v>91</v>
      </c>
      <c r="F36" s="68">
        <f>F35*'Model input'!E52</f>
        <v>0</v>
      </c>
      <c r="G36" s="68">
        <f>G35*'Model input'!F52</f>
        <v>84.815737952525438</v>
      </c>
      <c r="H36" s="68">
        <f>H35*'Model input'!G52</f>
        <v>92.179796196604926</v>
      </c>
      <c r="I36" s="68">
        <f>I35*'Model input'!H52</f>
        <v>40.40366951130904</v>
      </c>
      <c r="J36" s="68">
        <f>J35*'Model input'!I52</f>
        <v>57.288838486006114</v>
      </c>
      <c r="K36" s="68">
        <f>K35*'Model input'!J52</f>
        <v>53.278619791985676</v>
      </c>
      <c r="L36" s="68">
        <f>L35*'Model input'!K52</f>
        <v>49.54911640654668</v>
      </c>
      <c r="M36" s="68">
        <f>M35*'Model input'!L52</f>
        <v>46.080678258088419</v>
      </c>
      <c r="N36" s="68">
        <f>N35*'Model input'!M52</f>
        <v>42.855030780022233</v>
      </c>
      <c r="O36" s="126">
        <f>O35*'Model input'!N52</f>
        <v>39.855178625420663</v>
      </c>
      <c r="P36" s="6"/>
      <c r="Q36" s="4"/>
      <c r="R36" s="80" t="s">
        <v>98</v>
      </c>
      <c r="S36" s="9"/>
      <c r="T36" s="124"/>
      <c r="U36" s="117">
        <f t="shared" si="10"/>
        <v>0</v>
      </c>
      <c r="V36" s="117">
        <f t="shared" si="10"/>
        <v>0</v>
      </c>
      <c r="W36" s="117">
        <f t="shared" si="10"/>
        <v>14.27</v>
      </c>
      <c r="X36" s="117">
        <f t="shared" si="10"/>
        <v>0.69999999999999929</v>
      </c>
      <c r="Y36" s="117">
        <f t="shared" si="10"/>
        <v>8.8000000000000007</v>
      </c>
      <c r="Z36" s="117">
        <f t="shared" si="10"/>
        <v>8.1840000000000011</v>
      </c>
      <c r="AA36" s="117">
        <f t="shared" si="10"/>
        <v>7.6111200000000006</v>
      </c>
      <c r="AB36" s="117">
        <f t="shared" si="10"/>
        <v>7.0783416000000008</v>
      </c>
      <c r="AC36" s="117">
        <f t="shared" si="10"/>
        <v>6.5828576880000007</v>
      </c>
      <c r="AD36" s="117">
        <f t="shared" si="10"/>
        <v>6.1220576498400003</v>
      </c>
      <c r="AE36" s="4"/>
    </row>
    <row r="37" spans="2:31" x14ac:dyDescent="0.35">
      <c r="B37" s="401"/>
      <c r="C37" s="9" t="s">
        <v>95</v>
      </c>
      <c r="D37" s="67" t="s">
        <v>91</v>
      </c>
      <c r="E37" s="74" t="s">
        <v>91</v>
      </c>
      <c r="F37" s="68">
        <f>F35/'Model input'!$C$29</f>
        <v>0</v>
      </c>
      <c r="G37" s="68">
        <f>G35/'Model input'!$C$29</f>
        <v>7.0384600000000005E-2</v>
      </c>
      <c r="H37" s="68">
        <f>H35/'Model input'!$C$29</f>
        <v>7.0384600000000005E-2</v>
      </c>
      <c r="I37" s="68">
        <f>I35/'Model input'!$C$29</f>
        <v>6.5780000000000005E-2</v>
      </c>
      <c r="J37" s="68">
        <f>J35/'Model input'!$C$29</f>
        <v>6.1175400000000012E-2</v>
      </c>
      <c r="K37" s="68">
        <f>K35/'Model input'!$C$29</f>
        <v>5.6893121999999997E-2</v>
      </c>
      <c r="L37" s="68">
        <f>L35/'Model input'!$C$29</f>
        <v>5.2910603460000004E-2</v>
      </c>
      <c r="M37" s="68">
        <f>M35/'Model input'!$C$29</f>
        <v>4.9206861217800012E-2</v>
      </c>
      <c r="N37" s="68">
        <f>N35/'Model input'!$C$29</f>
        <v>4.5762380932554005E-2</v>
      </c>
      <c r="O37" s="126">
        <f>O35/'Model input'!$C$29</f>
        <v>4.2559014267275215E-2</v>
      </c>
      <c r="P37" s="6"/>
      <c r="Q37" s="4"/>
      <c r="R37" s="80" t="s">
        <v>100</v>
      </c>
      <c r="S37" s="9"/>
      <c r="T37" s="124"/>
      <c r="U37" s="117">
        <f t="shared" si="10"/>
        <v>0</v>
      </c>
      <c r="V37" s="117">
        <f t="shared" si="10"/>
        <v>0</v>
      </c>
      <c r="W37" s="117">
        <f t="shared" si="10"/>
        <v>0</v>
      </c>
      <c r="X37" s="117">
        <f t="shared" si="10"/>
        <v>14.27</v>
      </c>
      <c r="Y37" s="117">
        <f t="shared" si="10"/>
        <v>0.69999999999999929</v>
      </c>
      <c r="Z37" s="117">
        <f t="shared" si="10"/>
        <v>8.8000000000000007</v>
      </c>
      <c r="AA37" s="117">
        <f t="shared" si="10"/>
        <v>8.1840000000000011</v>
      </c>
      <c r="AB37" s="117">
        <f t="shared" si="10"/>
        <v>7.6111200000000006</v>
      </c>
      <c r="AC37" s="117">
        <f t="shared" si="10"/>
        <v>7.0783416000000008</v>
      </c>
      <c r="AD37" s="117">
        <f t="shared" si="10"/>
        <v>6.5828576880000007</v>
      </c>
      <c r="AE37" s="4"/>
    </row>
    <row r="38" spans="2:31" x14ac:dyDescent="0.35">
      <c r="B38" s="401"/>
      <c r="C38" s="9" t="s">
        <v>126</v>
      </c>
      <c r="D38" s="67" t="s">
        <v>91</v>
      </c>
      <c r="E38" s="75" t="s">
        <v>91</v>
      </c>
      <c r="F38" s="69">
        <f>F37*'Model input'!E59</f>
        <v>0</v>
      </c>
      <c r="G38" s="69">
        <f>G37*'Model input'!F59</f>
        <v>3.7613935961554761</v>
      </c>
      <c r="H38" s="69">
        <f>H37*'Model input'!G59</f>
        <v>3.4290884185137029</v>
      </c>
      <c r="I38" s="69">
        <f>I37*'Model input'!H59</f>
        <v>3.190655899695221</v>
      </c>
      <c r="J38" s="69">
        <f>J37*'Model input'!I59</f>
        <v>2.9673099867165558</v>
      </c>
      <c r="K38" s="69">
        <f>K37*'Model input'!J59</f>
        <v>2.759598287646396</v>
      </c>
      <c r="L38" s="69">
        <f>L37*'Model input'!K59</f>
        <v>2.5664264075111487</v>
      </c>
      <c r="M38" s="69">
        <f>M37*'Model input'!L59</f>
        <v>2.3867765589853689</v>
      </c>
      <c r="N38" s="69">
        <f>N37*'Model input'!M59</f>
        <v>2.2197021998563926</v>
      </c>
      <c r="O38" s="127">
        <f>O37*'Model input'!N59</f>
        <v>2.0643230458664448</v>
      </c>
      <c r="P38" s="6"/>
      <c r="Q38" s="4"/>
      <c r="R38" s="80" t="s">
        <v>102</v>
      </c>
      <c r="S38" s="9"/>
      <c r="T38" s="124"/>
      <c r="U38" s="117">
        <f t="shared" si="10"/>
        <v>0</v>
      </c>
      <c r="V38" s="117">
        <f t="shared" si="10"/>
        <v>0</v>
      </c>
      <c r="W38" s="117">
        <f t="shared" si="10"/>
        <v>0</v>
      </c>
      <c r="X38" s="117">
        <f t="shared" si="10"/>
        <v>0</v>
      </c>
      <c r="Y38" s="117">
        <f t="shared" si="10"/>
        <v>14.27</v>
      </c>
      <c r="Z38" s="117">
        <f t="shared" si="10"/>
        <v>0.69999999999999929</v>
      </c>
      <c r="AA38" s="117">
        <f t="shared" si="10"/>
        <v>8.8000000000000007</v>
      </c>
      <c r="AB38" s="117">
        <f t="shared" si="10"/>
        <v>8.1840000000000011</v>
      </c>
      <c r="AC38" s="117">
        <f t="shared" si="10"/>
        <v>7.6111200000000006</v>
      </c>
      <c r="AD38" s="117">
        <f t="shared" si="10"/>
        <v>7.0783416000000008</v>
      </c>
      <c r="AE38" s="4"/>
    </row>
    <row r="39" spans="2:31" x14ac:dyDescent="0.35">
      <c r="B39" s="401"/>
      <c r="C39" s="103" t="s">
        <v>127</v>
      </c>
      <c r="D39" s="104" t="s">
        <v>91</v>
      </c>
      <c r="E39" s="104" t="s">
        <v>91</v>
      </c>
      <c r="F39" s="105">
        <f t="shared" ref="F39:O39" si="11">F36-F38</f>
        <v>0</v>
      </c>
      <c r="G39" s="105">
        <f t="shared" si="11"/>
        <v>81.054344356369967</v>
      </c>
      <c r="H39" s="105">
        <f t="shared" si="11"/>
        <v>88.750707778091225</v>
      </c>
      <c r="I39" s="105">
        <f t="shared" si="11"/>
        <v>37.213013611613817</v>
      </c>
      <c r="J39" s="205">
        <f t="shared" si="11"/>
        <v>54.321528499289556</v>
      </c>
      <c r="K39" s="105">
        <f t="shared" si="11"/>
        <v>50.519021504339278</v>
      </c>
      <c r="L39" s="105">
        <f t="shared" si="11"/>
        <v>46.982689999035529</v>
      </c>
      <c r="M39" s="105">
        <f t="shared" si="11"/>
        <v>43.693901699103051</v>
      </c>
      <c r="N39" s="105">
        <f t="shared" si="11"/>
        <v>40.63532858016584</v>
      </c>
      <c r="O39" s="128">
        <f t="shared" si="11"/>
        <v>37.790855579554218</v>
      </c>
      <c r="P39" s="6"/>
      <c r="Q39" s="4"/>
      <c r="R39" s="80" t="s">
        <v>104</v>
      </c>
      <c r="S39" s="9"/>
      <c r="T39" s="124"/>
      <c r="U39" s="117">
        <f t="shared" si="10"/>
        <v>0</v>
      </c>
      <c r="V39" s="117">
        <f t="shared" si="10"/>
        <v>0</v>
      </c>
      <c r="W39" s="117">
        <f t="shared" si="10"/>
        <v>0</v>
      </c>
      <c r="X39" s="117">
        <f t="shared" si="10"/>
        <v>0</v>
      </c>
      <c r="Y39" s="117">
        <f t="shared" si="10"/>
        <v>0</v>
      </c>
      <c r="Z39" s="117">
        <f t="shared" si="10"/>
        <v>14.27</v>
      </c>
      <c r="AA39" s="117">
        <f t="shared" si="10"/>
        <v>0.69999999999999929</v>
      </c>
      <c r="AB39" s="117">
        <f t="shared" si="10"/>
        <v>8.8000000000000007</v>
      </c>
      <c r="AC39" s="117">
        <f t="shared" si="10"/>
        <v>8.1840000000000011</v>
      </c>
      <c r="AD39" s="117">
        <f t="shared" si="10"/>
        <v>7.6111200000000006</v>
      </c>
      <c r="AE39" s="4"/>
    </row>
    <row r="40" spans="2:31" x14ac:dyDescent="0.35">
      <c r="B40" s="401"/>
      <c r="C40" s="103" t="s">
        <v>128</v>
      </c>
      <c r="D40" s="104"/>
      <c r="E40" s="104" t="s">
        <v>91</v>
      </c>
      <c r="F40" s="71">
        <f>F39/(1+'Model input'!$C$13)^(F33-2019)</f>
        <v>0</v>
      </c>
      <c r="G40" s="71">
        <f>G39/(1+'Model input'!$C$13)^(G33-2019)</f>
        <v>66.987061451545415</v>
      </c>
      <c r="H40" s="71">
        <f>H39/(1+'Model input'!$C$13)^(H33-2019)</f>
        <v>66.679720344170704</v>
      </c>
      <c r="I40" s="71">
        <f>I39/(1+'Model input'!$C$13)^(I33-2019)</f>
        <v>25.416989011415755</v>
      </c>
      <c r="J40" s="71">
        <f>J39/(1+'Model input'!$C$13)^(J33-2019)</f>
        <v>33.729395346374467</v>
      </c>
      <c r="K40" s="71">
        <f>K39/(1+'Model input'!$C$13)^(K33-2019)</f>
        <v>28.516670611025674</v>
      </c>
      <c r="L40" s="71">
        <f>L39/(1+'Model input'!$C$13)^(L33-2019)</f>
        <v>24.109548789321703</v>
      </c>
      <c r="M40" s="71">
        <f>M39/(1+'Model input'!$C$13)^(M33-2019)</f>
        <v>20.383527612790175</v>
      </c>
      <c r="N40" s="71">
        <f>N39/(1+'Model input'!$C$13)^(N33-2019)</f>
        <v>17.23334607263169</v>
      </c>
      <c r="O40" s="129">
        <f>O39/(1+'Model input'!$C$13)^(O33-2019)</f>
        <v>14.570010770497696</v>
      </c>
      <c r="P40" s="6"/>
      <c r="Q40" s="4"/>
      <c r="R40" s="80" t="s">
        <v>106</v>
      </c>
      <c r="S40" s="9"/>
      <c r="T40" s="124"/>
      <c r="U40" s="117">
        <f t="shared" si="10"/>
        <v>0</v>
      </c>
      <c r="V40" s="117">
        <f t="shared" si="10"/>
        <v>0</v>
      </c>
      <c r="W40" s="117">
        <f t="shared" si="10"/>
        <v>0</v>
      </c>
      <c r="X40" s="117">
        <f t="shared" si="10"/>
        <v>0</v>
      </c>
      <c r="Y40" s="117">
        <f t="shared" si="10"/>
        <v>0</v>
      </c>
      <c r="Z40" s="117">
        <f t="shared" si="10"/>
        <v>0</v>
      </c>
      <c r="AA40" s="117">
        <f t="shared" si="10"/>
        <v>14.27</v>
      </c>
      <c r="AB40" s="117">
        <f t="shared" si="10"/>
        <v>0.69999999999999929</v>
      </c>
      <c r="AC40" s="117">
        <f t="shared" si="10"/>
        <v>8.8000000000000007</v>
      </c>
      <c r="AD40" s="117">
        <f t="shared" si="10"/>
        <v>8.1840000000000011</v>
      </c>
      <c r="AE40" s="4"/>
    </row>
    <row r="41" spans="2:31" x14ac:dyDescent="0.35">
      <c r="B41" s="401"/>
      <c r="C41" s="103" t="s">
        <v>103</v>
      </c>
      <c r="D41" s="106"/>
      <c r="E41" s="106"/>
      <c r="F41" s="71">
        <f>F40/('Model input'!$E$79/'Model input'!$G$79)</f>
        <v>0</v>
      </c>
      <c r="G41" s="71">
        <f>G40/('Model input'!$E$79/'Model input'!$G$79)</f>
        <v>95.891746363636358</v>
      </c>
      <c r="H41" s="71">
        <f>H40/('Model input'!$E$79/'Model input'!$G$79)</f>
        <v>95.451788633339248</v>
      </c>
      <c r="I41" s="71">
        <f>I40/('Model input'!$E$79/'Model input'!$G$79)</f>
        <v>36.384331702219832</v>
      </c>
      <c r="J41" s="71">
        <f>J40/('Model input'!$E$79/'Model input'!$G$79)</f>
        <v>48.283512568959523</v>
      </c>
      <c r="K41" s="71">
        <f>K40/('Model input'!$E$79/'Model input'!$G$79)</f>
        <v>40.821515171938486</v>
      </c>
      <c r="L41" s="71">
        <f>L40/('Model input'!$E$79/'Model input'!$G$79)</f>
        <v>34.51273555445708</v>
      </c>
      <c r="M41" s="71">
        <f>M40/('Model input'!$E$79/'Model input'!$G$79)</f>
        <v>29.178949150586455</v>
      </c>
      <c r="N41" s="71">
        <f>N40/('Model input'!$E$79/'Model input'!$G$79)</f>
        <v>24.669475190950362</v>
      </c>
      <c r="O41" s="129">
        <f>O40/('Model input'!$E$79/'Model input'!$G$79)</f>
        <v>20.856919934167113</v>
      </c>
      <c r="P41" s="6"/>
      <c r="Q41" s="4"/>
      <c r="R41" s="80" t="s">
        <v>109</v>
      </c>
      <c r="S41" s="9"/>
      <c r="T41" s="124"/>
      <c r="U41" s="117">
        <f t="shared" si="10"/>
        <v>0</v>
      </c>
      <c r="V41" s="117">
        <f t="shared" si="10"/>
        <v>0</v>
      </c>
      <c r="W41" s="117">
        <f t="shared" si="10"/>
        <v>0</v>
      </c>
      <c r="X41" s="117">
        <f t="shared" si="10"/>
        <v>0</v>
      </c>
      <c r="Y41" s="117">
        <f t="shared" si="10"/>
        <v>0</v>
      </c>
      <c r="Z41" s="117">
        <f t="shared" si="10"/>
        <v>0</v>
      </c>
      <c r="AA41" s="117">
        <f t="shared" si="10"/>
        <v>0</v>
      </c>
      <c r="AB41" s="117">
        <f t="shared" si="10"/>
        <v>14.27</v>
      </c>
      <c r="AC41" s="117">
        <f t="shared" si="10"/>
        <v>0.69999999999999929</v>
      </c>
      <c r="AD41" s="117">
        <f t="shared" si="10"/>
        <v>8.8000000000000007</v>
      </c>
      <c r="AE41" s="4"/>
    </row>
    <row r="42" spans="2:31" ht="15" thickBot="1" x14ac:dyDescent="0.4">
      <c r="B42" s="402"/>
      <c r="C42" s="107" t="s">
        <v>105</v>
      </c>
      <c r="D42" s="108"/>
      <c r="E42" s="108" t="s">
        <v>91</v>
      </c>
      <c r="F42" s="71">
        <f>F41*'Model input'!$E$84</f>
        <v>0</v>
      </c>
      <c r="G42" s="71">
        <f>G41*'Model input'!$E$84</f>
        <v>1.6685163867272725</v>
      </c>
      <c r="H42" s="71">
        <f>H41*'Model input'!$E$84</f>
        <v>1.6608611222201028</v>
      </c>
      <c r="I42" s="71">
        <f>I41*'Model input'!$E$84</f>
        <v>0.63308737161862505</v>
      </c>
      <c r="J42" s="71">
        <f>J41*'Model input'!$E$84</f>
        <v>0.8401331186998956</v>
      </c>
      <c r="K42" s="71">
        <f>K41*'Model input'!$E$84</f>
        <v>0.71029436399172963</v>
      </c>
      <c r="L42" s="71">
        <f>L41*'Model input'!$E$84</f>
        <v>0.60052159864755317</v>
      </c>
      <c r="M42" s="71">
        <f>M41*'Model input'!$E$84</f>
        <v>0.50771371522020425</v>
      </c>
      <c r="N42" s="71">
        <f>N41*'Model input'!$E$84</f>
        <v>0.42924886832253628</v>
      </c>
      <c r="O42" s="129">
        <f>O41*'Model input'!$E$84</f>
        <v>0.36291040685450776</v>
      </c>
      <c r="P42" s="6"/>
      <c r="Q42" s="4"/>
      <c r="R42" s="80" t="s">
        <v>111</v>
      </c>
      <c r="S42" s="9"/>
      <c r="T42" s="124"/>
      <c r="U42" s="117">
        <f t="shared" si="10"/>
        <v>0</v>
      </c>
      <c r="V42" s="117">
        <f t="shared" si="10"/>
        <v>0</v>
      </c>
      <c r="W42" s="117">
        <f t="shared" si="10"/>
        <v>0</v>
      </c>
      <c r="X42" s="117">
        <f t="shared" si="10"/>
        <v>0</v>
      </c>
      <c r="Y42" s="117">
        <f t="shared" si="10"/>
        <v>0</v>
      </c>
      <c r="Z42" s="117">
        <f t="shared" si="10"/>
        <v>0</v>
      </c>
      <c r="AA42" s="117">
        <f t="shared" si="10"/>
        <v>0</v>
      </c>
      <c r="AB42" s="117">
        <f t="shared" si="10"/>
        <v>0</v>
      </c>
      <c r="AC42" s="117">
        <f t="shared" si="10"/>
        <v>14.27</v>
      </c>
      <c r="AD42" s="117">
        <f t="shared" si="10"/>
        <v>0.69999999999999929</v>
      </c>
      <c r="AE42" s="4"/>
    </row>
    <row r="43" spans="2:31" x14ac:dyDescent="0.35">
      <c r="B43" s="400" t="s">
        <v>107</v>
      </c>
      <c r="C43" s="85" t="s">
        <v>108</v>
      </c>
      <c r="D43" s="76" t="s">
        <v>91</v>
      </c>
      <c r="E43" s="109" t="s">
        <v>91</v>
      </c>
      <c r="F43" s="331">
        <v>8</v>
      </c>
      <c r="G43" s="331">
        <v>4</v>
      </c>
      <c r="H43" s="331">
        <v>2</v>
      </c>
      <c r="I43" s="83">
        <f>H43+H43*'Sensitivity analysis'!$C$9</f>
        <v>1.8599999999999999</v>
      </c>
      <c r="J43" s="83">
        <f>I43+I43*'Sensitivity analysis'!$C$9</f>
        <v>1.7297999999999998</v>
      </c>
      <c r="K43" s="83">
        <f>J43+J43*'Sensitivity analysis'!$C$9</f>
        <v>1.6087139999999998</v>
      </c>
      <c r="L43" s="83">
        <f>K43+K43*'Sensitivity analysis'!$C$9</f>
        <v>1.4961040199999998</v>
      </c>
      <c r="M43" s="83">
        <f>L43+L43*'Sensitivity analysis'!$C$9</f>
        <v>1.3913767385999998</v>
      </c>
      <c r="N43" s="83">
        <f>M43+M43*'Sensitivity analysis'!$C$9</f>
        <v>1.2939803668979999</v>
      </c>
      <c r="O43" s="83">
        <f>N43+N43*'Sensitivity analysis'!$C$9</f>
        <v>1.2034017412151399</v>
      </c>
      <c r="P43" s="6"/>
      <c r="Q43" s="4"/>
      <c r="R43" s="122" t="s">
        <v>113</v>
      </c>
      <c r="S43" s="123"/>
      <c r="T43" s="125"/>
      <c r="U43" s="119">
        <f>U34*'Model input'!$C$44+U35*'Model input'!$D$44+SROI!U36*'Model input'!$E$44+SROI!U37*'Model input'!$F$44+SROI!U38*'Model input'!$G$44+SROI!U39*'Model input'!$H$44+SROI!U40*'Model input'!$I$44+SROI!U41*'Model input'!$J$44+SROI!U42*'Model input'!$K$44</f>
        <v>-15.697000000000001</v>
      </c>
      <c r="V43" s="119">
        <f>V34*'Model input'!$C$44+V35*'Model input'!$D$44+SROI!V36*'Model input'!$E$44+SROI!V37*'Model input'!$F$44+SROI!V38*'Model input'!$G$44+SROI!V39*'Model input'!$H$44+SROI!V40*'Model input'!$I$44+SROI!V41*'Model input'!$J$44+SROI!V42*'Model input'!$K$44</f>
        <v>-6.4780000000000015</v>
      </c>
      <c r="W43" s="119">
        <f>W34*'Model input'!$C$44+W35*'Model input'!$D$44+SROI!W36*'Model input'!$E$44+SROI!W37*'Model input'!$F$44+SROI!W38*'Model input'!$G$44+SROI!W39*'Model input'!$H$44+SROI!W40*'Model input'!$I$44+SROI!W41*'Model input'!$J$44+SROI!W42*'Model input'!$K$44</f>
        <v>14.298999999999999</v>
      </c>
      <c r="X43" s="119">
        <f>X34*'Model input'!$C$44+X35*'Model input'!$D$44+SROI!X36*'Model input'!$E$44+SROI!X37*'Model input'!$F$44+SROI!X38*'Model input'!$G$44+SROI!X39*'Model input'!$H$44+SROI!X40*'Model input'!$I$44+SROI!X41*'Model input'!$J$44+SROI!X42*'Model input'!$K$44</f>
        <v>17.207599999999992</v>
      </c>
      <c r="Y43" s="119">
        <f>Y34*'Model input'!$C$44+Y35*'Model input'!$D$44+SROI!Y36*'Model input'!$E$44+SROI!Y37*'Model input'!$F$44+SROI!Y38*'Model input'!$G$44+SROI!Y39*'Model input'!$H$44+SROI!Y40*'Model input'!$I$44+SROI!Y41*'Model input'!$J$44+SROI!Y42*'Model input'!$K$44</f>
        <v>30.400167999999994</v>
      </c>
      <c r="Z43" s="119">
        <f>Z34*'Model input'!$C$44+Z35*'Model input'!$D$44+SROI!Z36*'Model input'!$E$44+SROI!Z37*'Model input'!$F$44+SROI!Z38*'Model input'!$G$44+SROI!Z39*'Model input'!$H$44+SROI!Z40*'Model input'!$I$44+SROI!Z41*'Model input'!$J$44+SROI!Z42*'Model input'!$K$44</f>
        <v>40.493176239999997</v>
      </c>
      <c r="AA43" s="119">
        <f>AA34*'Model input'!$C$44+AA35*'Model input'!$D$44+SROI!AA36*'Model input'!$E$44+SROI!AA37*'Model input'!$F$44+SROI!AA38*'Model input'!$G$44+SROI!AA39*'Model input'!$H$44+SROI!AA40*'Model input'!$I$44+SROI!AA41*'Model input'!$J$44+SROI!AA42*'Model input'!$K$44</f>
        <v>48.827423903199993</v>
      </c>
      <c r="AB43" s="119">
        <f>AB34*'Model input'!$C$44+AB35*'Model input'!$D$44+SROI!AB36*'Model input'!$E$44+SROI!AB37*'Model input'!$F$44+SROI!AB38*'Model input'!$G$44+SROI!AB39*'Model input'!$H$44+SROI!AB40*'Model input'!$I$44+SROI!AB41*'Model input'!$J$44+SROI!AB42*'Model input'!$K$44</f>
        <v>56.105214229976006</v>
      </c>
      <c r="AC43" s="119">
        <f>AC34*'Model input'!$C$44+AC35*'Model input'!$D$44+SROI!AC36*'Model input'!$E$44+SROI!AC37*'Model input'!$F$44+SROI!AC38*'Model input'!$G$44+SROI!AC39*'Model input'!$H$44+SROI!AC40*'Model input'!$I$44+SROI!AC41*'Model input'!$J$44+SROI!AC42*'Model input'!$K$44</f>
        <v>65.152069233877683</v>
      </c>
      <c r="AD43" s="119">
        <f>AD34*'Model input'!$C$44+AD35*'Model input'!$D$44+SROI!AD36*'Model input'!$E$44+SROI!AD37*'Model input'!$F$44+SROI!AD38*'Model input'!$G$44+SROI!AD39*'Model input'!$H$44+SROI!AD40*'Model input'!$I$44+SROI!AD41*'Model input'!$J$44+SROI!AD42*'Model input'!$K$44</f>
        <v>53.282414387506243</v>
      </c>
      <c r="AE43" s="4"/>
    </row>
    <row r="44" spans="2:31" x14ac:dyDescent="0.35">
      <c r="B44" s="401"/>
      <c r="C44" s="9" t="s">
        <v>129</v>
      </c>
      <c r="D44" s="70" t="s">
        <v>91</v>
      </c>
      <c r="E44" s="110" t="s">
        <v>91</v>
      </c>
      <c r="F44" s="322">
        <v>7.09</v>
      </c>
      <c r="G44" s="322">
        <v>7.1</v>
      </c>
      <c r="H44" s="322">
        <v>8.9</v>
      </c>
      <c r="I44" s="84">
        <f>H44+H44*'Sensitivity analysis'!$C$9</f>
        <v>8.277000000000001</v>
      </c>
      <c r="J44" s="84">
        <f>I44+I44*'Sensitivity analysis'!$C$9</f>
        <v>7.697610000000001</v>
      </c>
      <c r="K44" s="84">
        <f>J44+J44*'Sensitivity analysis'!$C$9</f>
        <v>7.1587773000000006</v>
      </c>
      <c r="L44" s="84">
        <f>K44+K44*'Sensitivity analysis'!$C$9</f>
        <v>6.6576628890000009</v>
      </c>
      <c r="M44" s="84">
        <f>L44+L44*'Sensitivity analysis'!$C$9</f>
        <v>6.1916264867700006</v>
      </c>
      <c r="N44" s="84">
        <f>M44+M44*'Sensitivity analysis'!$C$9</f>
        <v>5.7582126326961003</v>
      </c>
      <c r="O44" s="84">
        <f>N44+N44*'Sensitivity analysis'!$C$9</f>
        <v>5.3551377484073734</v>
      </c>
      <c r="P44" s="6"/>
      <c r="Q44" s="4"/>
      <c r="R44" s="4"/>
      <c r="S44" s="4"/>
      <c r="T44" s="4"/>
      <c r="U44" s="4"/>
      <c r="V44" s="4"/>
      <c r="W44" s="4"/>
      <c r="X44" s="4"/>
      <c r="Y44" s="4"/>
      <c r="Z44" s="4"/>
      <c r="AA44" s="4"/>
      <c r="AB44" s="4"/>
      <c r="AC44" s="4"/>
      <c r="AD44" s="4"/>
      <c r="AE44" s="4"/>
    </row>
    <row r="45" spans="2:31" x14ac:dyDescent="0.35">
      <c r="B45" s="401"/>
      <c r="C45" s="9" t="s">
        <v>130</v>
      </c>
      <c r="D45" s="70" t="s">
        <v>91</v>
      </c>
      <c r="E45" s="110" t="s">
        <v>91</v>
      </c>
      <c r="F45" s="322">
        <v>0.82</v>
      </c>
      <c r="G45" s="322">
        <v>10.4</v>
      </c>
      <c r="H45" s="322">
        <v>2.1</v>
      </c>
      <c r="I45" s="84">
        <f>H45+H45*'Sensitivity analysis'!$C$9</f>
        <v>1.9530000000000001</v>
      </c>
      <c r="J45" s="84">
        <f>I45+I45*'Sensitivity analysis'!$C$9</f>
        <v>1.81629</v>
      </c>
      <c r="K45" s="84">
        <f>J45+J45*'Sensitivity analysis'!$C$9</f>
        <v>1.6891497</v>
      </c>
      <c r="L45" s="84">
        <f>K45+K45*'Sensitivity analysis'!$C$9</f>
        <v>1.570909221</v>
      </c>
      <c r="M45" s="84">
        <f>L45+L45*'Sensitivity analysis'!$C$9</f>
        <v>1.46094557553</v>
      </c>
      <c r="N45" s="84">
        <f>M45+M45*'Sensitivity analysis'!$C$9</f>
        <v>1.3586793852429</v>
      </c>
      <c r="O45" s="84">
        <f>N45+N45*'Sensitivity analysis'!$C$9</f>
        <v>1.263571828275897</v>
      </c>
      <c r="P45" s="6"/>
      <c r="Q45" s="4"/>
      <c r="R45" s="4"/>
      <c r="S45" s="4"/>
      <c r="T45" s="4"/>
      <c r="U45" s="4"/>
      <c r="V45" s="4"/>
      <c r="W45" s="4"/>
      <c r="X45" s="4"/>
      <c r="Y45" s="4"/>
      <c r="Z45" s="4"/>
      <c r="AA45" s="4"/>
      <c r="AB45" s="4"/>
      <c r="AC45" s="4"/>
      <c r="AD45" s="4"/>
      <c r="AE45" s="4"/>
    </row>
    <row r="46" spans="2:31" x14ac:dyDescent="0.35">
      <c r="B46" s="401"/>
      <c r="C46" s="9" t="s">
        <v>114</v>
      </c>
      <c r="D46" s="67" t="s">
        <v>91</v>
      </c>
      <c r="E46" s="75" t="s">
        <v>91</v>
      </c>
      <c r="F46" s="68">
        <f t="shared" ref="F46:O46" si="12">F43+(F44-F45)</f>
        <v>14.27</v>
      </c>
      <c r="G46" s="68">
        <f t="shared" si="12"/>
        <v>0.69999999999999929</v>
      </c>
      <c r="H46" s="68">
        <f t="shared" si="12"/>
        <v>8.8000000000000007</v>
      </c>
      <c r="I46" s="68">
        <f t="shared" si="12"/>
        <v>8.1840000000000011</v>
      </c>
      <c r="J46" s="68">
        <f t="shared" si="12"/>
        <v>7.6111200000000006</v>
      </c>
      <c r="K46" s="68">
        <f t="shared" si="12"/>
        <v>7.0783416000000008</v>
      </c>
      <c r="L46" s="68">
        <f t="shared" si="12"/>
        <v>6.5828576880000007</v>
      </c>
      <c r="M46" s="68">
        <f t="shared" si="12"/>
        <v>6.1220576498400003</v>
      </c>
      <c r="N46" s="68">
        <f t="shared" si="12"/>
        <v>5.6935136143512004</v>
      </c>
      <c r="O46" s="126">
        <f t="shared" si="12"/>
        <v>5.2949676613466163</v>
      </c>
      <c r="P46" s="6"/>
      <c r="Q46" s="4"/>
      <c r="R46" s="4"/>
      <c r="S46" s="4"/>
      <c r="T46" s="4"/>
      <c r="U46" s="4"/>
      <c r="V46" s="4"/>
      <c r="W46" s="4"/>
      <c r="X46" s="4"/>
      <c r="Y46" s="4"/>
      <c r="Z46" s="4"/>
      <c r="AA46" s="4"/>
      <c r="AB46" s="4"/>
      <c r="AC46" s="4"/>
      <c r="AD46" s="4"/>
      <c r="AE46" s="4"/>
    </row>
    <row r="47" spans="2:31" x14ac:dyDescent="0.35">
      <c r="B47" s="401"/>
      <c r="C47" s="9" t="s">
        <v>92</v>
      </c>
      <c r="D47" s="67" t="s">
        <v>91</v>
      </c>
      <c r="E47" s="77" t="s">
        <v>91</v>
      </c>
      <c r="F47" s="68">
        <f t="shared" ref="F47:O47" si="13">U43</f>
        <v>-15.697000000000001</v>
      </c>
      <c r="G47" s="68">
        <f t="shared" si="13"/>
        <v>-6.4780000000000015</v>
      </c>
      <c r="H47" s="68">
        <f t="shared" si="13"/>
        <v>14.298999999999999</v>
      </c>
      <c r="I47" s="68">
        <f t="shared" si="13"/>
        <v>17.207599999999992</v>
      </c>
      <c r="J47" s="68">
        <f t="shared" si="13"/>
        <v>30.400167999999994</v>
      </c>
      <c r="K47" s="68">
        <f t="shared" si="13"/>
        <v>40.493176239999997</v>
      </c>
      <c r="L47" s="68">
        <f t="shared" si="13"/>
        <v>48.827423903199993</v>
      </c>
      <c r="M47" s="68">
        <f t="shared" si="13"/>
        <v>56.105214229976006</v>
      </c>
      <c r="N47" s="68">
        <f t="shared" si="13"/>
        <v>65.152069233877683</v>
      </c>
      <c r="O47" s="126">
        <f t="shared" si="13"/>
        <v>53.282414387506243</v>
      </c>
      <c r="P47" s="6"/>
      <c r="Q47" s="4"/>
      <c r="R47" s="4"/>
      <c r="S47" s="4"/>
      <c r="T47" s="4"/>
      <c r="U47" s="4"/>
      <c r="V47" s="4"/>
      <c r="W47" s="4"/>
      <c r="X47" s="4"/>
      <c r="Y47" s="4"/>
      <c r="Z47" s="4"/>
      <c r="AA47" s="4"/>
      <c r="AB47" s="4"/>
      <c r="AC47" s="4"/>
      <c r="AD47" s="4"/>
      <c r="AE47" s="4"/>
    </row>
    <row r="48" spans="2:31" x14ac:dyDescent="0.35">
      <c r="B48" s="401"/>
      <c r="C48" s="9" t="s">
        <v>125</v>
      </c>
      <c r="D48" s="67" t="s">
        <v>91</v>
      </c>
      <c r="E48" s="75" t="s">
        <v>91</v>
      </c>
      <c r="F48" s="68">
        <f>F47*'Model input'!E52</f>
        <v>-252.22798388028724</v>
      </c>
      <c r="G48" s="68">
        <f>G47*'Model input'!F52</f>
        <v>-156.12402441910868</v>
      </c>
      <c r="H48" s="68">
        <f>H47*'Model input'!G52</f>
        <v>374.536164392567</v>
      </c>
      <c r="I48" s="68">
        <f>I47*'Model input'!H52</f>
        <v>211.38649543411404</v>
      </c>
      <c r="J48" s="68">
        <f>J47*'Model input'!I52</f>
        <v>569.37602843608738</v>
      </c>
      <c r="K48" s="68">
        <f>K47*'Model input'!J52</f>
        <v>758.41172543170615</v>
      </c>
      <c r="L48" s="68">
        <f>L47*'Model input'!K52</f>
        <v>914.50694288167404</v>
      </c>
      <c r="M48" s="68">
        <f>M47*'Model input'!L52</f>
        <v>1050.8153788103932</v>
      </c>
      <c r="N48" s="68">
        <f>N47*'Model input'!M52</f>
        <v>1220.2572836037707</v>
      </c>
      <c r="O48" s="126">
        <f>O47*'Model input'!N52</f>
        <v>997.94611297688061</v>
      </c>
      <c r="P48" s="6"/>
      <c r="Q48" s="4"/>
      <c r="R48" s="4"/>
      <c r="S48" s="4"/>
      <c r="T48" s="4"/>
      <c r="U48" s="4"/>
      <c r="V48" s="4"/>
      <c r="W48" s="4"/>
      <c r="X48" s="4"/>
      <c r="Y48" s="4"/>
      <c r="Z48" s="4"/>
      <c r="AA48" s="4"/>
      <c r="AB48" s="4"/>
      <c r="AC48" s="4"/>
      <c r="AD48" s="4"/>
      <c r="AE48" s="4"/>
    </row>
    <row r="49" spans="2:31" x14ac:dyDescent="0.35">
      <c r="B49" s="401"/>
      <c r="C49" s="9" t="s">
        <v>116</v>
      </c>
      <c r="D49" s="67" t="s">
        <v>91</v>
      </c>
      <c r="E49" s="77" t="s">
        <v>91</v>
      </c>
      <c r="F49" s="68">
        <f>F47/'Model input'!$C$29</f>
        <v>-0.31394</v>
      </c>
      <c r="G49" s="68">
        <f>G47/'Model input'!$C$29</f>
        <v>-0.12956000000000004</v>
      </c>
      <c r="H49" s="68">
        <f>H47/'Model input'!$C$29</f>
        <v>0.28598000000000001</v>
      </c>
      <c r="I49" s="68">
        <f>I47/'Model input'!$C$29</f>
        <v>0.34415199999999985</v>
      </c>
      <c r="J49" s="68">
        <f>J47/'Model input'!$C$29</f>
        <v>0.60800335999999988</v>
      </c>
      <c r="K49" s="68">
        <f>K47/'Model input'!$C$29</f>
        <v>0.8098635247999999</v>
      </c>
      <c r="L49" s="68">
        <f>L47/'Model input'!$C$29</f>
        <v>0.9765484780639998</v>
      </c>
      <c r="M49" s="68">
        <f>M47/'Model input'!$C$29</f>
        <v>1.1221042845995202</v>
      </c>
      <c r="N49" s="68">
        <f>N47/'Model input'!$C$29</f>
        <v>1.3030413846775537</v>
      </c>
      <c r="O49" s="126">
        <f>O47/'Model input'!$C$29</f>
        <v>1.0656482877501248</v>
      </c>
      <c r="P49" s="6"/>
      <c r="Q49" s="4"/>
      <c r="R49" s="4"/>
      <c r="S49" s="4"/>
      <c r="T49" s="4"/>
      <c r="U49" s="4"/>
      <c r="V49" s="4"/>
      <c r="W49" s="4"/>
      <c r="X49" s="4"/>
      <c r="Y49" s="4"/>
      <c r="Z49" s="4"/>
      <c r="AA49" s="4"/>
      <c r="AB49" s="4"/>
      <c r="AC49" s="4"/>
      <c r="AD49" s="4"/>
      <c r="AE49" s="4"/>
    </row>
    <row r="50" spans="2:31" x14ac:dyDescent="0.35">
      <c r="B50" s="401"/>
      <c r="C50" s="9" t="s">
        <v>126</v>
      </c>
      <c r="D50" s="67" t="s">
        <v>118</v>
      </c>
      <c r="E50" s="75" t="s">
        <v>91</v>
      </c>
      <c r="F50" s="68">
        <f>F49*'Model input'!E59</f>
        <v>-15.930188455597087</v>
      </c>
      <c r="G50" s="68">
        <f>G49*'Model input'!F59</f>
        <v>-6.9237610829343854</v>
      </c>
      <c r="H50" s="68">
        <f>H49*'Model input'!G59</f>
        <v>13.932745315403494</v>
      </c>
      <c r="I50" s="68">
        <f>I49*'Model input'!H59</f>
        <v>16.693077062814062</v>
      </c>
      <c r="J50" s="68">
        <f>J49*'Model input'!I59</f>
        <v>29.491175245036739</v>
      </c>
      <c r="K50" s="68">
        <f>K49*'Model input'!J59</f>
        <v>39.282393331576259</v>
      </c>
      <c r="L50" s="68">
        <f>L49*'Model input'!K59</f>
        <v>47.367439386945726</v>
      </c>
      <c r="M50" s="68">
        <f>M49*'Model input'!L59</f>
        <v>54.427617143976043</v>
      </c>
      <c r="N50" s="68">
        <f>N49*'Model input'!M59</f>
        <v>63.203962930502676</v>
      </c>
      <c r="O50" s="126">
        <f>O49*'Model input'!N59</f>
        <v>51.689221591821919</v>
      </c>
      <c r="P50" s="6"/>
      <c r="Q50" s="4"/>
      <c r="R50" s="4"/>
      <c r="S50" s="4"/>
      <c r="T50" s="4"/>
      <c r="U50" s="4"/>
      <c r="V50" s="4"/>
      <c r="W50" s="4"/>
      <c r="X50" s="4"/>
      <c r="Y50" s="4"/>
      <c r="Z50" s="4"/>
      <c r="AA50" s="4"/>
      <c r="AB50" s="4"/>
      <c r="AC50" s="4"/>
      <c r="AD50" s="4"/>
      <c r="AE50" s="4"/>
    </row>
    <row r="51" spans="2:31" x14ac:dyDescent="0.35">
      <c r="B51" s="401"/>
      <c r="C51" s="9" t="s">
        <v>119</v>
      </c>
      <c r="D51" s="67" t="s">
        <v>91</v>
      </c>
      <c r="E51" s="77" t="s">
        <v>91</v>
      </c>
      <c r="F51" s="68">
        <f>F46*'Model input'!$C$34</f>
        <v>0.14269999999999999</v>
      </c>
      <c r="G51" s="68">
        <f>G46*'Model input'!$C$34</f>
        <v>6.9999999999999932E-3</v>
      </c>
      <c r="H51" s="68">
        <f>H46*'Model input'!$C$34</f>
        <v>8.8000000000000009E-2</v>
      </c>
      <c r="I51" s="68">
        <f>I46*'Model input'!$C$34</f>
        <v>8.184000000000001E-2</v>
      </c>
      <c r="J51" s="68">
        <f>J46*'Model input'!$C$34</f>
        <v>7.6111200000000004E-2</v>
      </c>
      <c r="K51" s="68">
        <f>K46*'Model input'!$C$34</f>
        <v>7.0783416000000016E-2</v>
      </c>
      <c r="L51" s="68">
        <f>L46*'Model input'!$C$34</f>
        <v>6.5828576880000003E-2</v>
      </c>
      <c r="M51" s="68">
        <f>M46*'Model input'!$C$34</f>
        <v>6.1220576498400008E-2</v>
      </c>
      <c r="N51" s="68">
        <f>N46*'Model input'!$C$34</f>
        <v>5.6935136143512005E-2</v>
      </c>
      <c r="O51" s="126">
        <f>O46*'Model input'!$C$34</f>
        <v>5.2949676613466168E-2</v>
      </c>
      <c r="P51" s="6"/>
      <c r="Q51" s="4"/>
      <c r="R51" s="4"/>
      <c r="S51" s="4"/>
      <c r="T51" s="4"/>
      <c r="U51" s="4"/>
      <c r="V51" s="4"/>
      <c r="W51" s="4"/>
      <c r="X51" s="4"/>
      <c r="Y51" s="4"/>
      <c r="Z51" s="4"/>
      <c r="AA51" s="4"/>
      <c r="AB51" s="4"/>
      <c r="AC51" s="4"/>
      <c r="AD51" s="4"/>
      <c r="AE51" s="4"/>
    </row>
    <row r="52" spans="2:31" x14ac:dyDescent="0.35">
      <c r="B52" s="401"/>
      <c r="C52" s="9" t="s">
        <v>131</v>
      </c>
      <c r="D52" s="67" t="s">
        <v>91</v>
      </c>
      <c r="E52" s="75" t="s">
        <v>91</v>
      </c>
      <c r="F52" s="69">
        <f>F51*'Model input'!E59</f>
        <v>7.2409947525441298</v>
      </c>
      <c r="G52" s="69">
        <f>G51*'Model input'!F59</f>
        <v>0.37408403504585241</v>
      </c>
      <c r="H52" s="69">
        <f>H51*'Model input'!G59</f>
        <v>4.2872983696604923</v>
      </c>
      <c r="I52" s="69">
        <f>I51*'Model input'!H59</f>
        <v>3.9696454671793386</v>
      </c>
      <c r="J52" s="69">
        <f>J51*'Model input'!I59</f>
        <v>3.6917702844767848</v>
      </c>
      <c r="K52" s="69">
        <f>K51*'Model input'!J59</f>
        <v>3.4333463645634104</v>
      </c>
      <c r="L52" s="69">
        <f>L51*'Model input'!K59</f>
        <v>3.1930121190439711</v>
      </c>
      <c r="M52" s="69">
        <f>M51*'Model input'!L59</f>
        <v>2.9695012707108934</v>
      </c>
      <c r="N52" s="69">
        <f>N51*'Model input'!M59</f>
        <v>2.7616361817611308</v>
      </c>
      <c r="O52" s="127">
        <f>O51*'Model input'!N59</f>
        <v>2.5683216490378515</v>
      </c>
      <c r="P52" s="6"/>
      <c r="Q52" s="4"/>
      <c r="R52" s="4"/>
      <c r="S52" s="4"/>
      <c r="T52" s="4"/>
      <c r="U52" s="4"/>
      <c r="V52" s="4"/>
      <c r="W52" s="4"/>
      <c r="X52" s="4"/>
      <c r="Y52" s="4"/>
      <c r="Z52" s="4"/>
      <c r="AA52" s="4"/>
      <c r="AB52" s="4"/>
      <c r="AC52" s="4"/>
      <c r="AD52" s="4"/>
      <c r="AE52" s="4"/>
    </row>
    <row r="53" spans="2:31" x14ac:dyDescent="0.35">
      <c r="B53" s="401"/>
      <c r="C53" s="103" t="s">
        <v>127</v>
      </c>
      <c r="D53" s="104" t="s">
        <v>91</v>
      </c>
      <c r="E53" s="104" t="s">
        <v>91</v>
      </c>
      <c r="F53" s="105">
        <f t="shared" ref="F53:O53" si="14">F48-F50-F52</f>
        <v>-243.53879017723429</v>
      </c>
      <c r="G53" s="105">
        <f t="shared" si="14"/>
        <v>-149.57434737122014</v>
      </c>
      <c r="H53" s="105">
        <f t="shared" si="14"/>
        <v>356.31612070750299</v>
      </c>
      <c r="I53" s="105">
        <f t="shared" si="14"/>
        <v>190.72377290412064</v>
      </c>
      <c r="J53" s="105">
        <f t="shared" si="14"/>
        <v>536.19308290657386</v>
      </c>
      <c r="K53" s="105">
        <f t="shared" si="14"/>
        <v>715.69598573556652</v>
      </c>
      <c r="L53" s="105">
        <f t="shared" si="14"/>
        <v>863.94649137568433</v>
      </c>
      <c r="M53" s="105">
        <f t="shared" si="14"/>
        <v>993.41826039570628</v>
      </c>
      <c r="N53" s="105">
        <f t="shared" si="14"/>
        <v>1154.2916844915069</v>
      </c>
      <c r="O53" s="128">
        <f t="shared" si="14"/>
        <v>943.68856973602078</v>
      </c>
      <c r="P53" s="6"/>
      <c r="Q53" s="4"/>
      <c r="R53" s="4"/>
      <c r="S53" s="4"/>
      <c r="T53" s="4"/>
      <c r="U53" s="4"/>
      <c r="V53" s="4"/>
      <c r="W53" s="4"/>
      <c r="X53" s="4"/>
      <c r="Y53" s="4"/>
      <c r="Z53" s="4"/>
      <c r="AA53" s="4"/>
      <c r="AB53" s="4"/>
      <c r="AC53" s="4"/>
      <c r="AD53" s="4"/>
      <c r="AE53" s="4"/>
    </row>
    <row r="54" spans="2:31" x14ac:dyDescent="0.35">
      <c r="B54" s="401"/>
      <c r="C54" s="103" t="s">
        <v>128</v>
      </c>
      <c r="D54" s="104" t="s">
        <v>91</v>
      </c>
      <c r="E54" s="104" t="s">
        <v>91</v>
      </c>
      <c r="F54" s="71">
        <f>F53/(1+'Model input'!$C$13)^(F33-2019)</f>
        <v>-221.39890016112207</v>
      </c>
      <c r="G54" s="71">
        <f>G53/(1+'Model input'!$C$13)^(G33-2019)</f>
        <v>-123.61516311671085</v>
      </c>
      <c r="H54" s="71">
        <f>H53/(1+'Model input'!$C$13)^(H33-2019)</f>
        <v>267.7055752873801</v>
      </c>
      <c r="I54" s="71">
        <f>I53/(1+'Model input'!$C$13)^(I33-2019)</f>
        <v>130.26690315150645</v>
      </c>
      <c r="J54" s="71">
        <f>J53/(1+'Model input'!$C$13)^(J33-2019)</f>
        <v>332.93371845351703</v>
      </c>
      <c r="K54" s="71">
        <f>K53/(1+'Model input'!$C$13)^(K33-2019)</f>
        <v>403.99172579186728</v>
      </c>
      <c r="L54" s="71">
        <f>L53/(1+'Model input'!$C$13)^(L33-2019)</f>
        <v>443.34115576636742</v>
      </c>
      <c r="M54" s="71">
        <f>M53/(1+'Model input'!$C$13)^(M33-2019)</f>
        <v>463.43695010971146</v>
      </c>
      <c r="N54" s="71">
        <f>N53/(1+'Model input'!$C$13)^(N33-2019)</f>
        <v>489.53235430001155</v>
      </c>
      <c r="O54" s="129">
        <f>O53/(1+'Model input'!$C$13)^(O33-2019)</f>
        <v>363.83279537307527</v>
      </c>
      <c r="P54" s="6"/>
      <c r="Q54" s="4"/>
      <c r="R54" s="4"/>
      <c r="S54" s="4"/>
      <c r="T54" s="4"/>
      <c r="U54" s="4"/>
      <c r="V54" s="4"/>
      <c r="W54" s="4"/>
      <c r="X54" s="4"/>
      <c r="Y54" s="4"/>
      <c r="Z54" s="4"/>
      <c r="AA54" s="4"/>
      <c r="AB54" s="4"/>
      <c r="AC54" s="4"/>
      <c r="AD54" s="4"/>
      <c r="AE54" s="4"/>
    </row>
    <row r="55" spans="2:31" x14ac:dyDescent="0.35">
      <c r="B55" s="401"/>
      <c r="C55" s="103" t="s">
        <v>103</v>
      </c>
      <c r="D55" s="106"/>
      <c r="E55" s="106"/>
      <c r="F55" s="71">
        <f>F54/('Model input'!$E$79/'Model input'!$G$79)</f>
        <v>-316.93175845301357</v>
      </c>
      <c r="G55" s="71">
        <f>G54/('Model input'!$E$79/'Model input'!$G$79)</f>
        <v>-176.95467768595043</v>
      </c>
      <c r="H55" s="71">
        <f>H54/('Model input'!$E$79/'Model input'!$G$79)</f>
        <v>383.21960344771293</v>
      </c>
      <c r="I55" s="71">
        <f>I54/('Model input'!$E$79/'Model input'!$G$79)</f>
        <v>186.47662049806866</v>
      </c>
      <c r="J55" s="71">
        <f>J54/('Model input'!$E$79/'Model input'!$G$79)</f>
        <v>476.59346438028354</v>
      </c>
      <c r="K55" s="71">
        <f>K54/('Model input'!$E$79/'Model input'!$G$79)</f>
        <v>578.31275567541309</v>
      </c>
      <c r="L55" s="71">
        <f>L54/('Model input'!$E$79/'Model input'!$G$79)</f>
        <v>634.64132834161092</v>
      </c>
      <c r="M55" s="71">
        <f>M54/('Model input'!$E$79/'Model input'!$G$79)</f>
        <v>663.40838831395558</v>
      </c>
      <c r="N55" s="71">
        <f>N54/('Model input'!$E$79/'Model input'!$G$79)</f>
        <v>700.76386899409977</v>
      </c>
      <c r="O55" s="129">
        <f>O54/('Model input'!$E$79/'Model input'!$G$79)</f>
        <v>520.82538592805895</v>
      </c>
      <c r="P55" s="6"/>
      <c r="Q55" s="4"/>
      <c r="R55" s="4"/>
      <c r="S55" s="4"/>
      <c r="T55" s="4"/>
      <c r="U55" s="4"/>
      <c r="V55" s="4"/>
      <c r="W55" s="4"/>
      <c r="X55" s="4"/>
      <c r="Y55" s="4"/>
      <c r="Z55" s="4"/>
      <c r="AA55" s="4"/>
      <c r="AB55" s="4"/>
      <c r="AC55" s="4"/>
      <c r="AD55" s="4"/>
      <c r="AE55" s="4"/>
    </row>
    <row r="56" spans="2:31" ht="15" thickBot="1" x14ac:dyDescent="0.4">
      <c r="B56" s="402"/>
      <c r="C56" s="107" t="s">
        <v>105</v>
      </c>
      <c r="D56" s="108" t="s">
        <v>91</v>
      </c>
      <c r="E56" s="108" t="s">
        <v>91</v>
      </c>
      <c r="F56" s="71">
        <f>F55*'Model input'!$E$84</f>
        <v>-5.5146125970824356</v>
      </c>
      <c r="G56" s="71">
        <f>G55*'Model input'!$E$84</f>
        <v>-3.0790113917355373</v>
      </c>
      <c r="H56" s="71">
        <f>H55*'Model input'!$E$84</f>
        <v>6.6680210999902041</v>
      </c>
      <c r="I56" s="71">
        <f>I55*'Model input'!$E$84</f>
        <v>3.2446931966663946</v>
      </c>
      <c r="J56" s="71">
        <f>J55*'Model input'!$E$84</f>
        <v>8.2927262802169324</v>
      </c>
      <c r="K56" s="71">
        <f>K55*'Model input'!$E$84</f>
        <v>10.062641948752187</v>
      </c>
      <c r="L56" s="71">
        <f>L55*'Model input'!$E$84</f>
        <v>11.042759113144029</v>
      </c>
      <c r="M56" s="71">
        <f>M55*'Model input'!$E$84</f>
        <v>11.543305956662826</v>
      </c>
      <c r="N56" s="71">
        <f>N55*'Model input'!$E$84</f>
        <v>12.193291320497336</v>
      </c>
      <c r="O56" s="129">
        <f>O55*'Model input'!$E$84</f>
        <v>9.0623617151482243</v>
      </c>
      <c r="P56" s="6"/>
      <c r="Q56" s="4"/>
      <c r="R56" s="4"/>
      <c r="S56" s="4"/>
      <c r="T56" s="4"/>
      <c r="U56" s="4"/>
      <c r="V56" s="4"/>
      <c r="W56" s="4"/>
      <c r="X56" s="4"/>
      <c r="Y56" s="4"/>
      <c r="Z56" s="4"/>
      <c r="AA56" s="4"/>
      <c r="AB56" s="4"/>
      <c r="AC56" s="4"/>
      <c r="AD56" s="4"/>
      <c r="AE56" s="4"/>
    </row>
    <row r="57" spans="2:31" collapsed="1" x14ac:dyDescent="0.35">
      <c r="B57" s="100" t="s">
        <v>132</v>
      </c>
      <c r="C57" s="97"/>
      <c r="D57" s="98" t="s">
        <v>91</v>
      </c>
      <c r="E57" s="98" t="s">
        <v>91</v>
      </c>
      <c r="F57" s="111">
        <f t="shared" ref="F57:O57" si="15">F39+F53</f>
        <v>-243.53879017723429</v>
      </c>
      <c r="G57" s="111">
        <f t="shared" si="15"/>
        <v>-68.520003014850175</v>
      </c>
      <c r="H57" s="111">
        <f t="shared" si="15"/>
        <v>445.06682848559421</v>
      </c>
      <c r="I57" s="111">
        <f t="shared" si="15"/>
        <v>227.93678651573447</v>
      </c>
      <c r="J57" s="111">
        <f t="shared" si="15"/>
        <v>590.51461140586343</v>
      </c>
      <c r="K57" s="111">
        <f t="shared" si="15"/>
        <v>766.21500723990584</v>
      </c>
      <c r="L57" s="111">
        <f t="shared" si="15"/>
        <v>910.92918137471986</v>
      </c>
      <c r="M57" s="111">
        <f t="shared" si="15"/>
        <v>1037.1121620948093</v>
      </c>
      <c r="N57" s="111">
        <f t="shared" si="15"/>
        <v>1194.9270130716727</v>
      </c>
      <c r="O57" s="130">
        <f t="shared" si="15"/>
        <v>981.47942531557499</v>
      </c>
      <c r="P57" s="6"/>
      <c r="Q57" s="4"/>
      <c r="R57" s="4"/>
      <c r="S57" s="4"/>
      <c r="T57" s="4"/>
      <c r="U57" s="4"/>
      <c r="V57" s="4"/>
      <c r="W57" s="4"/>
      <c r="X57" s="4"/>
      <c r="Y57" s="4"/>
      <c r="Z57" s="4"/>
      <c r="AA57" s="4"/>
      <c r="AB57" s="4"/>
      <c r="AC57" s="4"/>
      <c r="AD57" s="4"/>
      <c r="AE57" s="4"/>
    </row>
    <row r="58" spans="2:31" x14ac:dyDescent="0.35">
      <c r="B58" s="100" t="s">
        <v>133</v>
      </c>
      <c r="C58" s="100"/>
      <c r="D58" s="101" t="s">
        <v>91</v>
      </c>
      <c r="E58" s="101" t="s">
        <v>91</v>
      </c>
      <c r="F58" s="112">
        <f t="shared" ref="F58:O58" si="16">F40+F54</f>
        <v>-221.39890016112207</v>
      </c>
      <c r="G58" s="112">
        <f t="shared" si="16"/>
        <v>-56.628101665165431</v>
      </c>
      <c r="H58" s="112">
        <f t="shared" si="16"/>
        <v>334.38529563155078</v>
      </c>
      <c r="I58" s="112">
        <f t="shared" si="16"/>
        <v>155.68389216292221</v>
      </c>
      <c r="J58" s="112">
        <f t="shared" si="16"/>
        <v>366.66311379989151</v>
      </c>
      <c r="K58" s="112">
        <f t="shared" si="16"/>
        <v>432.50839640289297</v>
      </c>
      <c r="L58" s="112">
        <f t="shared" si="16"/>
        <v>467.45070455568913</v>
      </c>
      <c r="M58" s="112">
        <f t="shared" si="16"/>
        <v>483.82047772250166</v>
      </c>
      <c r="N58" s="112">
        <f t="shared" si="16"/>
        <v>506.76570037264321</v>
      </c>
      <c r="O58" s="131">
        <f t="shared" si="16"/>
        <v>378.40280614357295</v>
      </c>
      <c r="P58" s="6"/>
      <c r="Q58" s="4"/>
      <c r="R58" s="4"/>
      <c r="S58" s="4"/>
      <c r="T58" s="4"/>
      <c r="U58" s="4"/>
      <c r="V58" s="4"/>
      <c r="W58" s="4"/>
      <c r="X58" s="4"/>
      <c r="Y58" s="4"/>
      <c r="Z58" s="4"/>
      <c r="AA58" s="4"/>
      <c r="AB58" s="4"/>
      <c r="AC58" s="4"/>
      <c r="AD58" s="4"/>
      <c r="AE58" s="4"/>
    </row>
    <row r="59" spans="2:31" ht="15" customHeight="1" thickBot="1" x14ac:dyDescent="0.45">
      <c r="B59" s="113" t="s">
        <v>123</v>
      </c>
      <c r="C59" s="113"/>
      <c r="D59" s="114" t="s">
        <v>91</v>
      </c>
      <c r="E59" s="114" t="s">
        <v>91</v>
      </c>
      <c r="F59" s="115">
        <f t="shared" ref="F59:O59" si="17">F42+F56</f>
        <v>-5.5146125970824356</v>
      </c>
      <c r="G59" s="115">
        <f t="shared" si="17"/>
        <v>-1.4104950050082647</v>
      </c>
      <c r="H59" s="115">
        <f t="shared" si="17"/>
        <v>8.3288822222103072</v>
      </c>
      <c r="I59" s="115">
        <f t="shared" si="17"/>
        <v>3.8777805682850195</v>
      </c>
      <c r="J59" s="115">
        <f t="shared" si="17"/>
        <v>9.1328593989168283</v>
      </c>
      <c r="K59" s="115">
        <f t="shared" si="17"/>
        <v>10.772936312743917</v>
      </c>
      <c r="L59" s="115">
        <f t="shared" si="17"/>
        <v>11.643280711791583</v>
      </c>
      <c r="M59" s="115">
        <f t="shared" si="17"/>
        <v>12.051019671883029</v>
      </c>
      <c r="N59" s="115">
        <f t="shared" si="17"/>
        <v>12.622540188819872</v>
      </c>
      <c r="O59" s="120">
        <f t="shared" si="17"/>
        <v>9.4252721220027329</v>
      </c>
      <c r="P59" s="132"/>
      <c r="Q59" s="82"/>
      <c r="R59" s="82"/>
      <c r="S59" s="82"/>
      <c r="T59" s="82"/>
      <c r="U59" s="82"/>
      <c r="V59" s="82"/>
      <c r="W59" s="82"/>
      <c r="X59" s="82"/>
      <c r="Y59" s="82"/>
      <c r="Z59" s="82"/>
      <c r="AA59" s="82"/>
      <c r="AB59" s="82"/>
      <c r="AC59" s="82"/>
      <c r="AD59" s="82"/>
      <c r="AE59" s="82"/>
    </row>
    <row r="60" spans="2:31" x14ac:dyDescent="0.35">
      <c r="B60" s="333"/>
      <c r="C60" s="4"/>
      <c r="D60" s="4"/>
      <c r="E60" s="4"/>
      <c r="F60" s="64"/>
      <c r="G60" s="4"/>
      <c r="H60" s="4"/>
      <c r="I60" s="4"/>
      <c r="J60" s="4"/>
      <c r="K60" s="4"/>
      <c r="L60" s="4"/>
      <c r="M60" s="4"/>
      <c r="N60" s="4"/>
      <c r="O60" s="4"/>
      <c r="P60" s="6"/>
      <c r="Q60" s="4"/>
      <c r="R60" s="4"/>
      <c r="S60" s="4"/>
      <c r="T60" s="4"/>
      <c r="U60" s="4"/>
      <c r="V60" s="4"/>
      <c r="W60" s="4"/>
      <c r="X60" s="4"/>
      <c r="Y60" s="4"/>
      <c r="Z60" s="4"/>
      <c r="AA60" s="4"/>
      <c r="AB60" s="4"/>
      <c r="AC60" s="4"/>
      <c r="AD60" s="4"/>
      <c r="AE60" s="4"/>
    </row>
    <row r="61" spans="2:31" x14ac:dyDescent="0.35">
      <c r="B61" s="4"/>
      <c r="C61" s="4"/>
      <c r="D61" s="4"/>
      <c r="E61" s="4"/>
      <c r="F61" s="64"/>
      <c r="G61" s="4"/>
      <c r="H61" s="4"/>
      <c r="I61" s="4"/>
      <c r="J61" s="4"/>
      <c r="K61" s="4"/>
      <c r="L61" s="4"/>
      <c r="M61" s="4"/>
      <c r="N61" s="4"/>
      <c r="O61" s="4"/>
      <c r="P61" s="6"/>
      <c r="Q61" s="4"/>
      <c r="R61" s="4"/>
      <c r="S61" s="4"/>
      <c r="T61" s="4"/>
      <c r="U61" s="4"/>
      <c r="V61" s="4"/>
      <c r="W61" s="4"/>
      <c r="X61" s="4"/>
      <c r="Y61" s="4"/>
      <c r="Z61" s="4"/>
      <c r="AA61" s="4"/>
      <c r="AB61" s="4"/>
      <c r="AC61" s="4"/>
      <c r="AD61" s="4"/>
      <c r="AE61" s="4"/>
    </row>
    <row r="62" spans="2:31" ht="18" x14ac:dyDescent="0.4">
      <c r="B62" s="329" t="s">
        <v>220</v>
      </c>
      <c r="C62" s="27"/>
      <c r="D62" s="28"/>
      <c r="E62" s="29"/>
      <c r="F62" s="29"/>
      <c r="G62" s="29"/>
      <c r="H62" s="29"/>
      <c r="I62" s="29"/>
      <c r="J62" s="29"/>
      <c r="K62" s="29"/>
      <c r="L62" s="29"/>
      <c r="M62" s="29"/>
      <c r="N62" s="29"/>
      <c r="O62" s="29"/>
      <c r="P62" s="6"/>
      <c r="Q62" s="4"/>
      <c r="R62" s="4"/>
      <c r="S62" s="4"/>
      <c r="T62" s="4"/>
      <c r="U62" s="4"/>
      <c r="V62" s="4"/>
      <c r="W62" s="4"/>
      <c r="X62" s="4"/>
      <c r="Y62" s="4"/>
      <c r="Z62" s="4"/>
      <c r="AA62" s="4"/>
      <c r="AB62" s="4"/>
      <c r="AC62" s="4"/>
      <c r="AD62" s="4"/>
      <c r="AE62" s="4"/>
    </row>
    <row r="63" spans="2:31" x14ac:dyDescent="0.35">
      <c r="B63" s="5"/>
      <c r="C63" s="4"/>
      <c r="D63" s="4"/>
      <c r="E63" s="4"/>
      <c r="F63" s="4"/>
      <c r="G63" s="4"/>
      <c r="H63" s="4"/>
      <c r="I63" s="4"/>
      <c r="J63" s="4"/>
      <c r="K63" s="4"/>
      <c r="L63" s="4"/>
      <c r="M63" s="4"/>
      <c r="N63" s="4"/>
      <c r="O63" s="4"/>
      <c r="P63" s="6"/>
      <c r="Q63" s="4"/>
      <c r="R63" s="4"/>
      <c r="S63" s="4"/>
      <c r="T63" s="4"/>
      <c r="U63" s="4"/>
      <c r="V63" s="4"/>
      <c r="W63" s="4"/>
      <c r="X63" s="4"/>
      <c r="Y63" s="4"/>
      <c r="Z63" s="4"/>
      <c r="AA63" s="4"/>
      <c r="AB63" s="4"/>
      <c r="AC63" s="4"/>
      <c r="AD63" s="4"/>
      <c r="AE63" s="4"/>
    </row>
    <row r="64" spans="2:31" ht="15.5" x14ac:dyDescent="0.35">
      <c r="B64" s="335" t="s">
        <v>87</v>
      </c>
      <c r="C64" s="334"/>
      <c r="D64" s="334">
        <v>2018</v>
      </c>
      <c r="E64" s="334">
        <v>2019</v>
      </c>
      <c r="F64" s="334">
        <v>2020</v>
      </c>
      <c r="G64" s="334">
        <v>2021</v>
      </c>
      <c r="H64" s="334">
        <v>2022</v>
      </c>
      <c r="I64" s="334">
        <v>2023</v>
      </c>
      <c r="J64" s="334">
        <v>2024</v>
      </c>
      <c r="K64" s="334">
        <v>2025</v>
      </c>
      <c r="L64" s="334">
        <v>2026</v>
      </c>
      <c r="M64" s="334">
        <v>2027</v>
      </c>
      <c r="N64" s="334">
        <v>2028</v>
      </c>
      <c r="O64" s="334">
        <v>2029</v>
      </c>
      <c r="P64" s="6"/>
      <c r="Q64" s="4"/>
      <c r="R64" s="4"/>
      <c r="S64" s="4"/>
      <c r="T64" s="4"/>
      <c r="U64" s="4"/>
      <c r="V64" s="4"/>
      <c r="W64" s="4"/>
      <c r="X64" s="4"/>
      <c r="Y64" s="4"/>
      <c r="Z64" s="4"/>
      <c r="AA64" s="4"/>
      <c r="AB64" s="4"/>
      <c r="AC64" s="4"/>
      <c r="AD64" s="4"/>
      <c r="AE64" s="4"/>
    </row>
    <row r="65" spans="2:31" x14ac:dyDescent="0.35">
      <c r="B65" s="9" t="s">
        <v>63</v>
      </c>
      <c r="C65" s="9" t="s">
        <v>134</v>
      </c>
      <c r="D65" s="67" t="s">
        <v>91</v>
      </c>
      <c r="E65" s="78">
        <f>E30*'Model input'!$C$71</f>
        <v>-66077.668031116293</v>
      </c>
      <c r="F65" s="78">
        <f>F30*'Model input'!$C$71</f>
        <v>5431.7646631175066</v>
      </c>
      <c r="G65" s="78">
        <f>G30*'Model input'!$C$71</f>
        <v>173434.81038957456</v>
      </c>
      <c r="H65" s="78">
        <f>H30*'Model input'!$C$71</f>
        <v>221845.55137582161</v>
      </c>
      <c r="I65" s="78">
        <f>I30*'Model input'!$C$71</f>
        <v>91804.855752919175</v>
      </c>
      <c r="J65" s="78">
        <f>J30*'Model input'!$C$71</f>
        <v>115994.97757138449</v>
      </c>
      <c r="K65" s="78">
        <f>K30*'Model input'!$C$71</f>
        <v>91737.413497143221</v>
      </c>
      <c r="L65" s="78">
        <f>L30*'Model input'!$C$71</f>
        <v>80145.658053336287</v>
      </c>
      <c r="M65" s="78">
        <f>M30*'Model input'!$C$71</f>
        <v>83705.031587667545</v>
      </c>
      <c r="N65" s="78">
        <f>N30*'Model input'!$C$71</f>
        <v>75468.435866202402</v>
      </c>
      <c r="O65" s="121">
        <f>O30*'Model input'!$C$71</f>
        <v>0</v>
      </c>
      <c r="P65" s="6"/>
      <c r="Q65" s="4"/>
      <c r="R65" s="4"/>
      <c r="S65" s="4"/>
      <c r="T65" s="4"/>
      <c r="U65" s="4"/>
      <c r="V65" s="4"/>
      <c r="W65" s="4"/>
      <c r="X65" s="4"/>
      <c r="Y65" s="4"/>
      <c r="Z65" s="4"/>
      <c r="AA65" s="4"/>
      <c r="AB65" s="4"/>
      <c r="AC65" s="4"/>
      <c r="AD65" s="4"/>
      <c r="AE65" s="4"/>
    </row>
    <row r="66" spans="2:31" ht="15" customHeight="1" x14ac:dyDescent="0.4">
      <c r="B66" s="9" t="s">
        <v>67</v>
      </c>
      <c r="C66" s="9" t="s">
        <v>134</v>
      </c>
      <c r="D66" s="67" t="s">
        <v>91</v>
      </c>
      <c r="E66" s="79">
        <v>0</v>
      </c>
      <c r="F66" s="78">
        <f>F59*'Model input'!$D$71</f>
        <v>-110981.57851628402</v>
      </c>
      <c r="G66" s="78">
        <f>G59*'Model input'!$D$71</f>
        <v>-28386.211975791328</v>
      </c>
      <c r="H66" s="78">
        <f>H59*'Model input'!$D$71</f>
        <v>167618.75472198243</v>
      </c>
      <c r="I66" s="78">
        <f>I59*'Model input'!$D$71</f>
        <v>78040.333936736017</v>
      </c>
      <c r="J66" s="78">
        <f>J59*'Model input'!$D$71</f>
        <v>183798.79540320116</v>
      </c>
      <c r="K66" s="78">
        <f>K59*'Model input'!$D$71</f>
        <v>216805.34329397135</v>
      </c>
      <c r="L66" s="78">
        <f>L59*'Model input'!$D$71</f>
        <v>234321.02432480559</v>
      </c>
      <c r="M66" s="78">
        <f>M59*'Model input'!$D$71</f>
        <v>242526.77089664596</v>
      </c>
      <c r="N66" s="78">
        <f>N59*'Model input'!$D$71</f>
        <v>254028.62129999994</v>
      </c>
      <c r="O66" s="121">
        <f>O59*'Model input'!$D$71</f>
        <v>189683.601455305</v>
      </c>
      <c r="P66" s="132"/>
      <c r="Q66" s="82"/>
      <c r="R66" s="82"/>
      <c r="S66" s="82"/>
      <c r="T66" s="82"/>
      <c r="U66" s="82"/>
      <c r="V66" s="82"/>
      <c r="W66" s="82"/>
      <c r="X66" s="82"/>
      <c r="Y66" s="82"/>
      <c r="Z66" s="82"/>
      <c r="AA66" s="82"/>
      <c r="AB66" s="82"/>
      <c r="AC66" s="82"/>
      <c r="AD66" s="82"/>
      <c r="AE66" s="82"/>
    </row>
    <row r="67" spans="2:31" x14ac:dyDescent="0.35">
      <c r="B67" s="9" t="s">
        <v>68</v>
      </c>
      <c r="C67" s="9" t="s">
        <v>134</v>
      </c>
      <c r="D67" s="67" t="s">
        <v>91</v>
      </c>
      <c r="E67" s="78">
        <f t="shared" ref="E67:O67" si="18">E65+E66</f>
        <v>-66077.668031116293</v>
      </c>
      <c r="F67" s="78">
        <f t="shared" si="18"/>
        <v>-105549.81385316652</v>
      </c>
      <c r="G67" s="78">
        <f t="shared" si="18"/>
        <v>145048.59841378324</v>
      </c>
      <c r="H67" s="78">
        <f t="shared" si="18"/>
        <v>389464.30609780404</v>
      </c>
      <c r="I67" s="78">
        <f t="shared" si="18"/>
        <v>169845.18968965521</v>
      </c>
      <c r="J67" s="78">
        <f t="shared" si="18"/>
        <v>299793.77297458565</v>
      </c>
      <c r="K67" s="78">
        <f t="shared" si="18"/>
        <v>308542.75679111457</v>
      </c>
      <c r="L67" s="78">
        <f t="shared" si="18"/>
        <v>314466.68237814191</v>
      </c>
      <c r="M67" s="78">
        <f t="shared" si="18"/>
        <v>326231.80248431349</v>
      </c>
      <c r="N67" s="78">
        <f t="shared" si="18"/>
        <v>329497.05716620234</v>
      </c>
      <c r="O67" s="121">
        <f t="shared" si="18"/>
        <v>189683.601455305</v>
      </c>
      <c r="P67" s="6"/>
      <c r="Q67" s="4"/>
      <c r="R67" s="4"/>
      <c r="S67" s="4"/>
      <c r="T67" s="4"/>
      <c r="U67" s="4"/>
      <c r="V67" s="4"/>
      <c r="W67" s="4"/>
      <c r="X67" s="4"/>
      <c r="Y67" s="4"/>
      <c r="Z67" s="4"/>
      <c r="AA67" s="4"/>
      <c r="AB67" s="4"/>
      <c r="AC67" s="4"/>
      <c r="AD67" s="4"/>
      <c r="AE67" s="4"/>
    </row>
    <row r="68" spans="2:31" x14ac:dyDescent="0.35">
      <c r="B68" s="332"/>
      <c r="C68" s="4"/>
      <c r="D68" s="4"/>
      <c r="E68" s="4"/>
      <c r="F68" s="4"/>
      <c r="G68" s="4"/>
      <c r="H68" s="4"/>
      <c r="I68" s="4"/>
      <c r="J68" s="4"/>
      <c r="K68" s="4"/>
      <c r="L68" s="4"/>
      <c r="M68" s="4"/>
      <c r="N68" s="4"/>
      <c r="O68" s="4"/>
      <c r="P68" s="6"/>
      <c r="Q68" s="4"/>
      <c r="R68" s="4"/>
      <c r="S68" s="4"/>
      <c r="T68" s="4"/>
      <c r="U68" s="4"/>
      <c r="V68" s="4"/>
      <c r="W68" s="4"/>
      <c r="X68" s="4"/>
      <c r="Y68" s="4"/>
      <c r="Z68" s="4"/>
      <c r="AA68" s="4"/>
      <c r="AB68" s="4"/>
      <c r="AC68" s="4"/>
      <c r="AD68" s="4"/>
      <c r="AE68" s="4"/>
    </row>
    <row r="69" spans="2:31" x14ac:dyDescent="0.35">
      <c r="B69" s="4"/>
      <c r="C69" s="4"/>
      <c r="D69" s="4"/>
      <c r="E69" s="11"/>
      <c r="F69" s="4"/>
      <c r="G69" s="4"/>
      <c r="H69" s="4"/>
      <c r="I69" s="4"/>
      <c r="J69" s="4"/>
      <c r="K69" s="4"/>
      <c r="L69" s="4"/>
      <c r="M69" s="4"/>
      <c r="N69" s="4"/>
      <c r="O69" s="4"/>
      <c r="P69" s="6"/>
      <c r="Q69" s="4"/>
      <c r="R69" s="4"/>
      <c r="S69" s="4"/>
      <c r="T69" s="4"/>
      <c r="U69" s="4"/>
      <c r="V69" s="4"/>
      <c r="W69" s="4"/>
      <c r="X69" s="4"/>
      <c r="Y69" s="4"/>
      <c r="Z69" s="4"/>
      <c r="AA69" s="4"/>
      <c r="AB69" s="4"/>
      <c r="AC69" s="4"/>
      <c r="AD69" s="4"/>
      <c r="AE69" s="4"/>
    </row>
    <row r="70" spans="2:31" ht="18" x14ac:dyDescent="0.4">
      <c r="B70" s="329" t="s">
        <v>221</v>
      </c>
      <c r="C70" s="27"/>
      <c r="D70" s="28"/>
      <c r="E70" s="29"/>
      <c r="F70" s="29"/>
      <c r="G70" s="29"/>
      <c r="H70" s="29"/>
      <c r="I70" s="29"/>
      <c r="J70" s="29"/>
      <c r="K70" s="29"/>
      <c r="L70" s="29"/>
      <c r="M70" s="29"/>
      <c r="N70" s="29"/>
      <c r="O70" s="29"/>
      <c r="P70" s="6"/>
      <c r="Q70" s="4"/>
      <c r="R70" s="4"/>
      <c r="S70" s="4"/>
      <c r="T70" s="4"/>
      <c r="U70" s="4"/>
      <c r="V70" s="4"/>
      <c r="W70" s="4"/>
      <c r="X70" s="4"/>
      <c r="Y70" s="4"/>
      <c r="Z70" s="4"/>
      <c r="AA70" s="4"/>
      <c r="AB70" s="4"/>
      <c r="AC70" s="4"/>
      <c r="AD70" s="4"/>
      <c r="AE70" s="4"/>
    </row>
    <row r="71" spans="2:31" ht="15.5" x14ac:dyDescent="0.35">
      <c r="B71" s="133"/>
      <c r="C71" s="4"/>
      <c r="D71" s="4"/>
      <c r="E71" s="4"/>
      <c r="F71" s="4"/>
      <c r="G71" s="4"/>
      <c r="H71" s="4"/>
      <c r="I71" s="4"/>
      <c r="J71" s="4"/>
      <c r="K71" s="4"/>
      <c r="L71" s="4"/>
      <c r="M71" s="4"/>
      <c r="N71" s="4"/>
      <c r="O71" s="4"/>
      <c r="P71" s="6"/>
      <c r="Q71" s="4"/>
      <c r="R71" s="4"/>
      <c r="S71" s="4"/>
      <c r="T71" s="4"/>
      <c r="U71" s="4"/>
      <c r="V71" s="4"/>
      <c r="W71" s="4"/>
      <c r="X71" s="4"/>
      <c r="Y71" s="4"/>
      <c r="Z71" s="4"/>
      <c r="AA71" s="4"/>
      <c r="AB71" s="4"/>
      <c r="AC71" s="4"/>
      <c r="AD71" s="4"/>
      <c r="AE71" s="4"/>
    </row>
    <row r="72" spans="2:31" ht="20.5" x14ac:dyDescent="0.45">
      <c r="B72" s="330" t="s">
        <v>63</v>
      </c>
      <c r="C72" s="4"/>
      <c r="D72" s="4"/>
      <c r="E72" s="4"/>
      <c r="F72" s="4"/>
      <c r="G72" s="4"/>
      <c r="H72" s="4"/>
      <c r="I72" s="4"/>
      <c r="J72" s="4"/>
      <c r="K72" s="4"/>
      <c r="L72" s="4"/>
      <c r="M72" s="4"/>
      <c r="N72" s="4"/>
      <c r="O72" s="4"/>
      <c r="P72" s="6"/>
      <c r="Q72" s="4"/>
      <c r="R72" s="4"/>
      <c r="S72" s="4"/>
      <c r="T72" s="4"/>
      <c r="U72" s="4"/>
      <c r="V72" s="4"/>
      <c r="W72" s="4"/>
      <c r="X72" s="4"/>
      <c r="Y72" s="4"/>
      <c r="Z72" s="4"/>
      <c r="AA72" s="4"/>
      <c r="AB72" s="4"/>
      <c r="AC72" s="4"/>
      <c r="AD72" s="4"/>
      <c r="AE72" s="4"/>
    </row>
    <row r="73" spans="2:31" ht="15.5" x14ac:dyDescent="0.35">
      <c r="B73" s="335" t="s">
        <v>87</v>
      </c>
      <c r="C73" s="334">
        <v>2018</v>
      </c>
      <c r="D73" s="334">
        <v>2019</v>
      </c>
      <c r="E73" s="334">
        <v>2020</v>
      </c>
      <c r="F73" s="334">
        <v>2021</v>
      </c>
      <c r="G73" s="334">
        <v>2022</v>
      </c>
      <c r="H73" s="334">
        <v>2023</v>
      </c>
      <c r="I73" s="4"/>
      <c r="J73" s="4"/>
      <c r="K73" s="4"/>
      <c r="L73" s="4"/>
      <c r="M73" s="4"/>
      <c r="N73" s="4"/>
      <c r="O73" s="4"/>
      <c r="P73" s="6"/>
      <c r="Q73" s="4"/>
      <c r="R73" s="4"/>
      <c r="S73" s="4"/>
      <c r="T73" s="4"/>
      <c r="U73" s="4"/>
      <c r="V73" s="4"/>
      <c r="W73" s="4"/>
      <c r="X73" s="4"/>
      <c r="Y73" s="4"/>
      <c r="Z73" s="4"/>
      <c r="AA73" s="4"/>
      <c r="AB73" s="4"/>
      <c r="AC73" s="4"/>
      <c r="AD73" s="4"/>
      <c r="AE73" s="4"/>
    </row>
    <row r="74" spans="2:31" x14ac:dyDescent="0.35">
      <c r="B74" s="9" t="s">
        <v>135</v>
      </c>
      <c r="C74" s="336">
        <f>70326-70326*'Sensitivity analysis'!C10</f>
        <v>70326</v>
      </c>
      <c r="D74" s="336">
        <f>112755-112775*'Sensitivity analysis'!C10</f>
        <v>112755</v>
      </c>
      <c r="E74" s="336">
        <f>703259-703259*'Sensitivity analysis'!C10</f>
        <v>703259</v>
      </c>
      <c r="F74" s="336">
        <f>(298066-196297)-(298066-196297)*'Sensitivity analysis'!C10</f>
        <v>101769</v>
      </c>
      <c r="G74" s="336">
        <f>69989-69989*'Sensitivity analysis'!C10</f>
        <v>69989</v>
      </c>
      <c r="H74" s="336">
        <v>0</v>
      </c>
      <c r="I74" s="4"/>
      <c r="J74" s="4"/>
      <c r="K74" s="4"/>
      <c r="L74" s="4"/>
      <c r="M74" s="4"/>
      <c r="N74" s="4"/>
      <c r="O74" s="4"/>
      <c r="P74" s="6"/>
      <c r="Q74" s="4"/>
      <c r="R74" s="4"/>
      <c r="S74" s="4"/>
      <c r="T74" s="4"/>
      <c r="U74" s="4"/>
      <c r="V74" s="4"/>
      <c r="W74" s="4"/>
      <c r="X74" s="4"/>
      <c r="Y74" s="4"/>
      <c r="Z74" s="4"/>
      <c r="AA74" s="4"/>
      <c r="AB74" s="4"/>
      <c r="AC74" s="4"/>
      <c r="AD74" s="4"/>
      <c r="AE74" s="4"/>
    </row>
    <row r="75" spans="2:31" x14ac:dyDescent="0.35">
      <c r="B75" s="9" t="s">
        <v>136</v>
      </c>
      <c r="C75" s="116">
        <f>C74</f>
        <v>70326</v>
      </c>
      <c r="D75" s="116">
        <f>D74/('Model input'!E78/'Model input'!$D$78)</f>
        <v>110924.53000125026</v>
      </c>
      <c r="E75" s="116">
        <f>E74/('Model input'!F78/'Model input'!$D$78)</f>
        <v>682767.49811600114</v>
      </c>
      <c r="F75" s="116">
        <f>F74/('Model input'!G78/'Model input'!$D$78)</f>
        <v>94489.096857640776</v>
      </c>
      <c r="G75" s="116">
        <f>G74/('Model input'!H78/'Model input'!$D$78)</f>
        <v>60658.200726958465</v>
      </c>
      <c r="H75" s="116">
        <f>H74/('Model input'!I78/'Model input'!$D$78)</f>
        <v>0</v>
      </c>
      <c r="I75" s="4"/>
      <c r="J75" s="4"/>
      <c r="K75" s="4"/>
      <c r="L75" s="4"/>
      <c r="M75" s="4"/>
      <c r="N75" s="4"/>
      <c r="O75" s="4"/>
      <c r="P75" s="6"/>
      <c r="Q75" s="4"/>
      <c r="R75" s="4"/>
      <c r="S75" s="4"/>
      <c r="T75" s="4"/>
      <c r="U75" s="4"/>
      <c r="V75" s="4"/>
      <c r="W75" s="4"/>
      <c r="X75" s="4"/>
      <c r="Y75" s="4"/>
      <c r="Z75" s="4"/>
      <c r="AA75" s="4"/>
      <c r="AB75" s="4"/>
      <c r="AC75" s="4"/>
      <c r="AD75" s="4"/>
      <c r="AE75" s="4"/>
    </row>
    <row r="76" spans="2:31" x14ac:dyDescent="0.35">
      <c r="B76" s="9" t="s">
        <v>137</v>
      </c>
      <c r="C76" s="116">
        <f>C75/(1+'Model input'!$C$13)^(C73-2018)</f>
        <v>70326</v>
      </c>
      <c r="D76" s="116">
        <f>D75/(1+'Model input'!$C$13)^(D73-2018)</f>
        <v>100840.4818193184</v>
      </c>
      <c r="E76" s="116">
        <f>E75/(1+'Model input'!$C$13)^(E73-2018)</f>
        <v>564270.65960000083</v>
      </c>
      <c r="F76" s="116">
        <f>F75/(1+'Model input'!$C$13)^(F73-2018)</f>
        <v>70991.056992968253</v>
      </c>
      <c r="G76" s="116">
        <f>G75/(1+'Model input'!$C$13)^(G73-2018)</f>
        <v>41430.367274747936</v>
      </c>
      <c r="H76" s="116">
        <f>H75/(1+'Model input'!$C$13)^(H73-2018)</f>
        <v>0</v>
      </c>
      <c r="I76" s="4"/>
      <c r="J76" s="4"/>
      <c r="K76" s="4"/>
      <c r="L76" s="4"/>
      <c r="M76" s="4"/>
      <c r="N76" s="4"/>
      <c r="O76" s="4"/>
      <c r="P76" s="6"/>
      <c r="Q76" s="4"/>
      <c r="R76" s="4"/>
      <c r="S76" s="4"/>
      <c r="T76" s="4"/>
      <c r="U76" s="4"/>
      <c r="V76" s="4"/>
      <c r="W76" s="4"/>
      <c r="X76" s="4"/>
      <c r="Y76" s="4"/>
      <c r="Z76" s="4"/>
      <c r="AA76" s="4"/>
      <c r="AB76" s="4"/>
      <c r="AC76" s="4"/>
      <c r="AD76" s="4"/>
      <c r="AE76" s="4"/>
    </row>
    <row r="77" spans="2:31" x14ac:dyDescent="0.35">
      <c r="B77" s="9" t="s">
        <v>138</v>
      </c>
      <c r="C77" s="116">
        <f>C76/('Model input'!$D$78/'Model input'!$G$78)</f>
        <v>75744.259729594982</v>
      </c>
      <c r="D77" s="116">
        <f>D76/('Model input'!$D$78/'Model input'!$G$78)</f>
        <v>108609.72678923802</v>
      </c>
      <c r="E77" s="116">
        <f>E76/('Model input'!$D$78/'Model input'!$G$78)</f>
        <v>607744.83688155643</v>
      </c>
      <c r="F77" s="116">
        <f>F76/('Model input'!$D$78/'Model input'!$G$78)</f>
        <v>76460.555972952629</v>
      </c>
      <c r="G77" s="116">
        <f>G76/('Model input'!$D$78/'Model input'!$G$78)</f>
        <v>44622.365832707954</v>
      </c>
      <c r="H77" s="116">
        <f>H76/('Model input'!$D$78/'Model input'!$G$78)</f>
        <v>0</v>
      </c>
      <c r="I77" s="4"/>
      <c r="J77" s="4"/>
      <c r="K77" s="4"/>
      <c r="L77" s="4"/>
      <c r="M77" s="4"/>
      <c r="N77" s="4"/>
      <c r="O77" s="4"/>
      <c r="P77" s="6"/>
      <c r="Q77" s="4"/>
      <c r="R77" s="4"/>
      <c r="S77" s="4"/>
      <c r="T77" s="4"/>
      <c r="U77" s="4"/>
      <c r="V77" s="4"/>
      <c r="W77" s="4"/>
      <c r="X77" s="4"/>
      <c r="Y77" s="4"/>
      <c r="Z77" s="4"/>
      <c r="AA77" s="4"/>
      <c r="AB77" s="4"/>
      <c r="AC77" s="4"/>
      <c r="AD77" s="4"/>
      <c r="AE77" s="4"/>
    </row>
    <row r="78" spans="2:31" x14ac:dyDescent="0.35">
      <c r="B78" s="9" t="s">
        <v>139</v>
      </c>
      <c r="C78" s="116">
        <f>C77*'Model input'!$E$87</f>
        <v>66878.394128245884</v>
      </c>
      <c r="D78" s="116">
        <f>D77*'Model input'!$E$87</f>
        <v>95896.958268557704</v>
      </c>
      <c r="E78" s="116">
        <f>E77*'Model input'!$E$87</f>
        <v>536608.30372457032</v>
      </c>
      <c r="F78" s="116">
        <f>F77*'Model input'!$E$87</f>
        <v>67510.847896318519</v>
      </c>
      <c r="G78" s="116">
        <f>G77*'Model input'!$E$87</f>
        <v>39399.317911989485</v>
      </c>
      <c r="H78" s="116">
        <f>H77*'Model input'!$E$87</f>
        <v>0</v>
      </c>
      <c r="I78" s="4"/>
      <c r="J78" s="4"/>
      <c r="K78" s="4"/>
      <c r="L78" s="4"/>
      <c r="M78" s="4"/>
      <c r="N78" s="4"/>
      <c r="O78" s="4"/>
      <c r="P78" s="6"/>
      <c r="Q78" s="4"/>
      <c r="R78" s="4"/>
      <c r="S78" s="4"/>
      <c r="T78" s="4"/>
      <c r="U78" s="4"/>
      <c r="V78" s="4"/>
      <c r="W78" s="4"/>
      <c r="X78" s="4"/>
      <c r="Y78" s="4"/>
      <c r="Z78" s="4"/>
      <c r="AA78" s="4"/>
      <c r="AB78" s="4"/>
      <c r="AC78" s="4"/>
      <c r="AD78" s="4"/>
      <c r="AE78" s="4"/>
    </row>
    <row r="79" spans="2:31" ht="21" customHeight="1" x14ac:dyDescent="0.35">
      <c r="B79" s="332"/>
      <c r="C79" s="4"/>
      <c r="D79" s="4"/>
      <c r="E79" s="4"/>
      <c r="F79" s="4"/>
      <c r="G79" s="4"/>
      <c r="H79" s="4"/>
      <c r="I79" s="4"/>
      <c r="J79" s="4"/>
      <c r="K79" s="4"/>
      <c r="L79" s="4"/>
      <c r="M79" s="4"/>
      <c r="N79" s="4"/>
      <c r="O79" s="4"/>
      <c r="P79" s="6"/>
      <c r="Q79" s="4"/>
      <c r="R79" s="4"/>
      <c r="S79" s="4"/>
      <c r="T79" s="4"/>
      <c r="U79" s="4"/>
      <c r="V79" s="4"/>
      <c r="W79" s="4"/>
      <c r="X79" s="4"/>
      <c r="Y79" s="4"/>
      <c r="Z79" s="4"/>
      <c r="AA79" s="4"/>
      <c r="AB79" s="4"/>
      <c r="AC79" s="4"/>
      <c r="AD79" s="4"/>
      <c r="AE79" s="4"/>
    </row>
    <row r="80" spans="2:31" ht="17.5" customHeight="1" x14ac:dyDescent="0.45">
      <c r="B80" s="330" t="s">
        <v>67</v>
      </c>
      <c r="C80" s="4"/>
      <c r="D80" s="4"/>
      <c r="E80" s="4"/>
      <c r="F80" s="4"/>
      <c r="G80" s="4"/>
      <c r="H80" s="4"/>
      <c r="I80" s="4"/>
      <c r="J80" s="4"/>
      <c r="K80" s="4"/>
      <c r="L80" s="4"/>
      <c r="M80" s="4"/>
      <c r="N80" s="4"/>
      <c r="O80" s="4"/>
      <c r="P80" s="6"/>
      <c r="Q80" s="4"/>
      <c r="R80" s="4"/>
      <c r="S80" s="4"/>
      <c r="T80" s="4"/>
      <c r="U80" s="4"/>
      <c r="V80" s="4"/>
      <c r="W80" s="4"/>
      <c r="X80" s="4"/>
      <c r="Y80" s="4"/>
      <c r="Z80" s="4"/>
      <c r="AA80" s="4"/>
      <c r="AB80" s="4"/>
      <c r="AC80" s="4"/>
      <c r="AD80" s="4"/>
      <c r="AE80" s="4"/>
    </row>
    <row r="81" spans="2:31" ht="15.5" x14ac:dyDescent="0.35">
      <c r="B81" s="335" t="s">
        <v>87</v>
      </c>
      <c r="C81" s="334">
        <v>2018</v>
      </c>
      <c r="D81" s="334">
        <v>2019</v>
      </c>
      <c r="E81" s="334">
        <v>2020</v>
      </c>
      <c r="F81" s="334">
        <v>2021</v>
      </c>
      <c r="G81" s="334">
        <v>2022</v>
      </c>
      <c r="H81" s="334">
        <v>2023</v>
      </c>
      <c r="I81" s="334" t="s">
        <v>70</v>
      </c>
      <c r="J81" s="4"/>
      <c r="K81" s="4"/>
      <c r="L81" s="4"/>
      <c r="M81" s="4"/>
      <c r="N81" s="4"/>
      <c r="O81" s="4"/>
      <c r="P81" s="6"/>
      <c r="Q81" s="4"/>
      <c r="R81" s="4"/>
      <c r="S81" s="4"/>
      <c r="T81" s="4"/>
      <c r="U81" s="4"/>
      <c r="V81" s="4"/>
      <c r="W81" s="4"/>
      <c r="X81" s="4"/>
      <c r="Y81" s="4"/>
      <c r="Z81" s="4"/>
      <c r="AA81" s="4"/>
      <c r="AB81" s="4"/>
      <c r="AC81" s="4"/>
      <c r="AD81" s="4"/>
      <c r="AE81" s="4"/>
    </row>
    <row r="82" spans="2:31" x14ac:dyDescent="0.35">
      <c r="B82" s="9" t="s">
        <v>135</v>
      </c>
      <c r="C82" s="354">
        <v>0</v>
      </c>
      <c r="D82" s="354">
        <f>68514-68514*'Sensitivity analysis'!C10</f>
        <v>68514</v>
      </c>
      <c r="E82" s="354">
        <f>561596-561596*'Sensitivity analysis'!C10</f>
        <v>561596</v>
      </c>
      <c r="F82" s="354">
        <f>704315-704315*'Sensitivity analysis'!C10</f>
        <v>704315</v>
      </c>
      <c r="G82" s="354">
        <f>754811-754811*'Sensitivity analysis'!C10</f>
        <v>754811</v>
      </c>
      <c r="H82" s="354">
        <f>26047-26047*'Sensitivity analysis'!C10</f>
        <v>26047</v>
      </c>
      <c r="I82" s="9" t="s">
        <v>234</v>
      </c>
      <c r="J82" s="4"/>
      <c r="K82" s="4"/>
      <c r="L82" s="4"/>
      <c r="M82" s="4"/>
      <c r="N82" s="4"/>
      <c r="O82" s="4"/>
      <c r="P82" s="6"/>
      <c r="Q82" s="4"/>
      <c r="R82" s="4"/>
      <c r="S82" s="4"/>
      <c r="T82" s="4"/>
      <c r="U82" s="4"/>
      <c r="V82" s="4"/>
      <c r="W82" s="4"/>
      <c r="X82" s="4"/>
      <c r="Y82" s="4"/>
      <c r="Z82" s="4"/>
      <c r="AA82" s="4"/>
      <c r="AB82" s="4"/>
      <c r="AC82" s="4"/>
      <c r="AD82" s="4"/>
      <c r="AE82" s="4"/>
    </row>
    <row r="83" spans="2:31" x14ac:dyDescent="0.35">
      <c r="B83" s="9" t="s">
        <v>140</v>
      </c>
      <c r="C83" s="116">
        <v>0</v>
      </c>
      <c r="D83" s="116">
        <f>D82</f>
        <v>68514</v>
      </c>
      <c r="E83" s="116">
        <f>E82/('Model input'!F78/'Model input'!$E$78)</f>
        <v>554229.65313541051</v>
      </c>
      <c r="F83" s="116">
        <f>F82/('Model input'!G78/'Model input'!$E$78)</f>
        <v>664723.97147188033</v>
      </c>
      <c r="G83" s="116">
        <f>G82/('Model input'!H78/'Model input'!$E$78)</f>
        <v>664976.30156914575</v>
      </c>
      <c r="H83" s="116">
        <f>H82/('Model input'!I78/'Model input'!$E$78)</f>
        <v>22149.770294584294</v>
      </c>
      <c r="I83" s="9"/>
      <c r="J83" s="4"/>
      <c r="K83" s="4"/>
      <c r="L83" s="4"/>
      <c r="M83" s="4"/>
      <c r="N83" s="4"/>
      <c r="O83" s="4"/>
      <c r="P83" s="6"/>
      <c r="Q83" s="4"/>
      <c r="R83" s="4"/>
      <c r="S83" s="4"/>
      <c r="T83" s="4"/>
      <c r="U83" s="4"/>
      <c r="V83" s="4"/>
      <c r="W83" s="4"/>
      <c r="X83" s="4"/>
      <c r="Y83" s="4"/>
      <c r="Z83" s="4"/>
      <c r="AA83" s="4"/>
      <c r="AB83" s="4"/>
      <c r="AC83" s="4"/>
      <c r="AD83" s="4"/>
      <c r="AE83" s="4"/>
    </row>
    <row r="84" spans="2:31" x14ac:dyDescent="0.35">
      <c r="B84" s="9" t="s">
        <v>141</v>
      </c>
      <c r="C84" s="116">
        <v>0</v>
      </c>
      <c r="D84" s="116">
        <f>D83/(1+'Model input'!$C$13)^(D81-2019)</f>
        <v>68514</v>
      </c>
      <c r="E84" s="116">
        <f>E83/(1+'Model input'!$C$13)^(E81-2019)</f>
        <v>503845.13921400951</v>
      </c>
      <c r="F84" s="116">
        <f>F83/(1+'Model input'!$C$13)^(F81-2019)</f>
        <v>549358.65410899196</v>
      </c>
      <c r="G84" s="116">
        <f>G83/(1+'Model input'!$C$13)^(G81-2019)</f>
        <v>499606.5376176901</v>
      </c>
      <c r="H84" s="116">
        <f>H83/(1+'Model input'!$C$13)^(H81-2019)</f>
        <v>15128.591144446615</v>
      </c>
      <c r="I84" s="9"/>
      <c r="J84" s="4"/>
      <c r="K84" s="4"/>
      <c r="L84" s="4"/>
      <c r="M84" s="4"/>
      <c r="N84" s="4"/>
      <c r="O84" s="4"/>
      <c r="P84" s="6"/>
      <c r="Q84" s="4"/>
      <c r="R84" s="4"/>
      <c r="S84" s="4"/>
      <c r="T84" s="4"/>
      <c r="U84" s="4"/>
      <c r="V84" s="4"/>
      <c r="W84" s="4"/>
      <c r="X84" s="4"/>
      <c r="Y84" s="4"/>
      <c r="Z84" s="4"/>
      <c r="AA84" s="4"/>
      <c r="AB84" s="4"/>
      <c r="AC84" s="4"/>
      <c r="AD84" s="4"/>
      <c r="AE84" s="4"/>
    </row>
    <row r="85" spans="2:31" x14ac:dyDescent="0.35">
      <c r="B85" s="9" t="s">
        <v>138</v>
      </c>
      <c r="C85" s="116">
        <v>0</v>
      </c>
      <c r="D85" s="116">
        <f>D84/('Model input'!$E$78/'Model input'!$G$78)</f>
        <v>72594.700929995481</v>
      </c>
      <c r="E85" s="116">
        <f>E84/('Model input'!$E$78/'Model input'!$G$78)</f>
        <v>533854.2078447172</v>
      </c>
      <c r="F85" s="116">
        <f>F84/('Model input'!$E$78/'Model input'!$G$78)</f>
        <v>582078.51239669416</v>
      </c>
      <c r="G85" s="116">
        <f>G84/('Model input'!$E$78/'Model input'!$G$78)</f>
        <v>529363.15469870018</v>
      </c>
      <c r="H85" s="116">
        <f>H84/('Model input'!$E$78/'Model input'!$G$78)</f>
        <v>16029.651598553288</v>
      </c>
      <c r="I85" s="9"/>
      <c r="J85" s="4"/>
      <c r="K85" s="4"/>
      <c r="L85" s="4"/>
      <c r="M85" s="4"/>
      <c r="N85" s="4"/>
      <c r="O85" s="4"/>
      <c r="P85" s="6"/>
      <c r="Q85" s="4"/>
      <c r="R85" s="4"/>
      <c r="S85" s="4"/>
      <c r="T85" s="4"/>
      <c r="U85" s="4"/>
      <c r="V85" s="4"/>
      <c r="W85" s="4"/>
      <c r="X85" s="4"/>
      <c r="Y85" s="4"/>
      <c r="Z85" s="4"/>
      <c r="AA85" s="4"/>
      <c r="AB85" s="4"/>
      <c r="AC85" s="4"/>
      <c r="AD85" s="4"/>
      <c r="AE85" s="4"/>
    </row>
    <row r="86" spans="2:31" x14ac:dyDescent="0.35">
      <c r="B86" s="9" t="s">
        <v>139</v>
      </c>
      <c r="C86" s="116">
        <v>0</v>
      </c>
      <c r="D86" s="116">
        <f>D85*'Model input'!$E$87</f>
        <v>64097.491186139508</v>
      </c>
      <c r="E86" s="116">
        <f>E85*'Model input'!$E$87</f>
        <v>471366.57281649305</v>
      </c>
      <c r="F86" s="116">
        <f>F85*'Model input'!$E$87</f>
        <v>513946.22252066113</v>
      </c>
      <c r="G86" s="116">
        <f>G85*'Model input'!$E$87</f>
        <v>467401.19744121731</v>
      </c>
      <c r="H86" s="116">
        <f>H85*'Model input'!$E$87</f>
        <v>14153.380878942626</v>
      </c>
      <c r="I86" s="9"/>
      <c r="J86" s="4"/>
      <c r="K86" s="4"/>
      <c r="L86" s="4"/>
      <c r="M86" s="4"/>
      <c r="N86" s="4"/>
      <c r="O86" s="4"/>
      <c r="P86" s="6"/>
      <c r="Q86" s="4"/>
      <c r="R86" s="4"/>
      <c r="S86" s="4"/>
      <c r="T86" s="4"/>
      <c r="U86" s="4"/>
      <c r="V86" s="4"/>
      <c r="W86" s="4"/>
      <c r="X86" s="4"/>
      <c r="Y86" s="4"/>
      <c r="Z86" s="4"/>
      <c r="AA86" s="4"/>
      <c r="AB86" s="4"/>
      <c r="AC86" s="4"/>
      <c r="AD86" s="4"/>
      <c r="AE86" s="4"/>
    </row>
    <row r="87" spans="2:31" x14ac:dyDescent="0.35">
      <c r="B87" s="274"/>
      <c r="C87" s="4"/>
      <c r="D87" s="4"/>
      <c r="E87" s="4"/>
      <c r="F87" s="4"/>
      <c r="G87" s="4"/>
      <c r="H87" s="4"/>
      <c r="I87" s="4"/>
      <c r="J87" s="4"/>
      <c r="K87" s="4"/>
      <c r="L87" s="4"/>
      <c r="M87" s="4"/>
      <c r="N87" s="4"/>
      <c r="O87" s="4"/>
      <c r="P87" s="6"/>
      <c r="Q87" s="4"/>
      <c r="R87" s="4"/>
      <c r="S87" s="4"/>
      <c r="T87" s="4"/>
      <c r="U87" s="4"/>
      <c r="V87" s="4"/>
      <c r="W87" s="4"/>
      <c r="X87" s="4"/>
      <c r="Y87" s="4"/>
      <c r="Z87" s="4"/>
      <c r="AA87" s="4"/>
      <c r="AB87" s="4"/>
      <c r="AC87" s="4"/>
      <c r="AD87" s="4"/>
      <c r="AE87" s="4"/>
    </row>
    <row r="88" spans="2:31" ht="15.5" x14ac:dyDescent="0.35">
      <c r="B88" s="342" t="s">
        <v>142</v>
      </c>
      <c r="C88" s="343">
        <f>SUM(C78:H78)</f>
        <v>806293.82192968193</v>
      </c>
      <c r="D88" s="81"/>
      <c r="E88" s="4"/>
      <c r="F88" s="4"/>
      <c r="G88" s="4"/>
      <c r="H88" s="4"/>
      <c r="I88" s="4"/>
      <c r="J88" s="4"/>
      <c r="K88" s="4"/>
      <c r="L88" s="4"/>
      <c r="M88" s="4"/>
      <c r="N88" s="4"/>
      <c r="O88" s="4"/>
      <c r="P88" s="6"/>
      <c r="Q88" s="4"/>
      <c r="R88" s="4"/>
      <c r="S88" s="4"/>
      <c r="T88" s="4"/>
      <c r="U88" s="4"/>
      <c r="V88" s="4"/>
      <c r="W88" s="4"/>
      <c r="X88" s="4"/>
      <c r="Y88" s="4"/>
      <c r="Z88" s="4"/>
      <c r="AA88" s="4"/>
      <c r="AB88" s="4"/>
      <c r="AC88" s="4"/>
      <c r="AD88" s="4"/>
      <c r="AE88" s="4"/>
    </row>
    <row r="89" spans="2:31" ht="15.5" x14ac:dyDescent="0.35">
      <c r="B89" s="342" t="s">
        <v>143</v>
      </c>
      <c r="C89" s="343">
        <f>SUM(C86:H86)</f>
        <v>1530964.8648434535</v>
      </c>
      <c r="D89" s="81"/>
      <c r="E89" s="81"/>
      <c r="F89" s="4"/>
      <c r="G89" s="4"/>
      <c r="H89" s="4"/>
      <c r="I89" s="4"/>
      <c r="J89" s="4"/>
      <c r="K89" s="4"/>
      <c r="L89" s="4"/>
      <c r="M89" s="4"/>
      <c r="N89" s="4"/>
      <c r="O89" s="4"/>
      <c r="P89" s="6"/>
      <c r="Q89" s="4"/>
      <c r="R89" s="4"/>
      <c r="S89" s="4"/>
      <c r="T89" s="4"/>
      <c r="U89" s="4"/>
      <c r="V89" s="4"/>
      <c r="W89" s="4"/>
      <c r="X89" s="4"/>
      <c r="Y89" s="4"/>
      <c r="Z89" s="4"/>
      <c r="AA89" s="4"/>
      <c r="AB89" s="4"/>
      <c r="AC89" s="4"/>
      <c r="AD89" s="4"/>
      <c r="AE89" s="4"/>
    </row>
    <row r="90" spans="2:31" ht="16.5" customHeight="1" x14ac:dyDescent="0.4">
      <c r="B90" s="342" t="s">
        <v>144</v>
      </c>
      <c r="C90" s="343">
        <f>C88+C89</f>
        <v>2337258.6867731353</v>
      </c>
      <c r="D90" s="4"/>
      <c r="E90" s="4"/>
      <c r="F90" s="4"/>
      <c r="G90" s="4"/>
      <c r="H90" s="4"/>
      <c r="I90" s="4"/>
      <c r="J90" s="4"/>
      <c r="K90" s="4"/>
      <c r="L90" s="4"/>
      <c r="M90" s="4"/>
      <c r="N90" s="4"/>
      <c r="O90" s="4"/>
      <c r="P90" s="132"/>
      <c r="Q90" s="82"/>
      <c r="R90" s="82"/>
      <c r="S90" s="82"/>
      <c r="T90" s="82"/>
      <c r="U90" s="82"/>
      <c r="V90" s="82"/>
      <c r="W90" s="82"/>
      <c r="X90" s="82"/>
      <c r="Y90" s="82"/>
      <c r="Z90" s="82"/>
      <c r="AA90" s="82"/>
      <c r="AB90" s="82"/>
      <c r="AC90" s="82"/>
      <c r="AD90" s="82"/>
      <c r="AE90" s="82"/>
    </row>
    <row r="91" spans="2:31" ht="16.5" customHeight="1" x14ac:dyDescent="0.4">
      <c r="B91" s="342" t="s">
        <v>296</v>
      </c>
      <c r="C91" s="343">
        <f>C88/'Model input'!C69</f>
        <v>32.619703128476495</v>
      </c>
      <c r="D91" s="4"/>
      <c r="E91" s="4"/>
      <c r="F91" s="4"/>
      <c r="G91" s="4"/>
      <c r="H91" s="4"/>
      <c r="I91" s="4"/>
      <c r="J91" s="4"/>
      <c r="K91" s="4"/>
      <c r="L91" s="4"/>
      <c r="M91" s="4"/>
      <c r="N91" s="4"/>
      <c r="O91" s="4"/>
      <c r="P91" s="132"/>
      <c r="Q91" s="82"/>
      <c r="R91" s="82"/>
      <c r="S91" s="82"/>
      <c r="T91" s="82"/>
      <c r="U91" s="82"/>
      <c r="V91" s="82"/>
      <c r="W91" s="82"/>
      <c r="X91" s="82"/>
      <c r="Y91" s="82"/>
      <c r="Z91" s="82"/>
      <c r="AA91" s="82"/>
      <c r="AB91" s="82"/>
      <c r="AC91" s="82"/>
      <c r="AD91" s="82"/>
      <c r="AE91" s="82"/>
    </row>
    <row r="92" spans="2:31" ht="16.5" customHeight="1" x14ac:dyDescent="0.4">
      <c r="B92" s="342" t="s">
        <v>297</v>
      </c>
      <c r="C92" s="343">
        <f>C89/'Model input'!D69</f>
        <v>66.445243906230345</v>
      </c>
      <c r="D92" s="4"/>
      <c r="E92" s="4"/>
      <c r="F92" s="4"/>
      <c r="G92" s="4"/>
      <c r="H92" s="4"/>
      <c r="I92" s="4"/>
      <c r="J92" s="4"/>
      <c r="K92" s="4"/>
      <c r="L92" s="4"/>
      <c r="M92" s="4"/>
      <c r="N92" s="4"/>
      <c r="O92" s="4"/>
      <c r="P92" s="132"/>
      <c r="Q92" s="82"/>
      <c r="R92" s="82"/>
      <c r="S92" s="82"/>
      <c r="T92" s="82"/>
      <c r="U92" s="82"/>
      <c r="V92" s="82"/>
      <c r="W92" s="82"/>
      <c r="X92" s="82"/>
      <c r="Y92" s="82"/>
      <c r="Z92" s="82"/>
      <c r="AA92" s="82"/>
      <c r="AB92" s="82"/>
      <c r="AC92" s="82"/>
      <c r="AD92" s="82"/>
      <c r="AE92" s="82"/>
    </row>
    <row r="93" spans="2:31" ht="15.5" x14ac:dyDescent="0.35">
      <c r="B93" s="342" t="s">
        <v>295</v>
      </c>
      <c r="C93" s="343">
        <f>C90/'Model input'!$E$69</f>
        <v>48.938601871335983</v>
      </c>
      <c r="D93" s="81"/>
      <c r="E93" s="4"/>
      <c r="F93" s="4"/>
      <c r="G93" s="4"/>
      <c r="H93" s="4"/>
      <c r="I93" s="4"/>
      <c r="J93" s="4"/>
      <c r="K93" s="4"/>
      <c r="L93" s="4"/>
      <c r="M93" s="4"/>
      <c r="N93" s="4"/>
      <c r="O93" s="4"/>
      <c r="P93" s="6"/>
      <c r="Q93" s="4"/>
      <c r="R93" s="4"/>
      <c r="S93" s="4"/>
      <c r="T93" s="4"/>
      <c r="U93" s="4"/>
      <c r="V93" s="4"/>
      <c r="W93" s="4"/>
      <c r="X93" s="4"/>
      <c r="Y93" s="4"/>
      <c r="Z93" s="4"/>
      <c r="AA93" s="4"/>
      <c r="AB93" s="4"/>
      <c r="AC93" s="4"/>
      <c r="AD93" s="4"/>
      <c r="AE93" s="4"/>
    </row>
    <row r="94" spans="2:31" ht="15.5" x14ac:dyDescent="0.35">
      <c r="B94" s="342" t="s">
        <v>145</v>
      </c>
      <c r="C94" s="343">
        <f>C90/'Model input'!$E$71</f>
        <v>55.121425564198276</v>
      </c>
      <c r="D94" s="4"/>
      <c r="E94" s="4"/>
      <c r="F94" s="4"/>
      <c r="G94" s="4"/>
      <c r="H94" s="4"/>
      <c r="I94" s="4"/>
      <c r="J94" s="4"/>
      <c r="K94" s="4"/>
      <c r="L94" s="4"/>
      <c r="M94" s="4"/>
      <c r="N94" s="4"/>
      <c r="O94" s="4"/>
      <c r="P94" s="6"/>
      <c r="Q94" s="4"/>
      <c r="R94" s="4"/>
      <c r="S94" s="4"/>
      <c r="T94" s="4"/>
      <c r="U94" s="4"/>
      <c r="V94" s="4"/>
      <c r="W94" s="4"/>
      <c r="X94" s="4"/>
      <c r="Y94" s="4"/>
      <c r="Z94" s="4"/>
      <c r="AA94" s="4"/>
      <c r="AB94" s="4"/>
      <c r="AC94" s="4"/>
      <c r="AD94" s="4"/>
      <c r="AE94" s="4"/>
    </row>
    <row r="95" spans="2:31" x14ac:dyDescent="0.35">
      <c r="B95" s="332"/>
      <c r="C95" s="4"/>
      <c r="D95" s="4"/>
      <c r="E95" s="4"/>
      <c r="F95" s="4"/>
      <c r="G95" s="4"/>
      <c r="H95" s="4"/>
      <c r="I95" s="4"/>
      <c r="J95" s="4"/>
      <c r="K95" s="4"/>
      <c r="L95" s="4"/>
      <c r="M95" s="4"/>
      <c r="N95" s="4"/>
      <c r="O95" s="4"/>
      <c r="P95" s="6"/>
      <c r="Q95" s="4"/>
      <c r="R95" s="4"/>
      <c r="S95" s="4"/>
      <c r="T95" s="4"/>
      <c r="U95" s="4"/>
      <c r="V95" s="4"/>
      <c r="W95" s="4"/>
      <c r="X95" s="4"/>
      <c r="Y95" s="4"/>
      <c r="Z95" s="4"/>
      <c r="AA95" s="4"/>
      <c r="AB95" s="4"/>
      <c r="AC95" s="4"/>
      <c r="AD95" s="4"/>
      <c r="AE95" s="4"/>
    </row>
    <row r="96" spans="2:31" ht="18" x14ac:dyDescent="0.4">
      <c r="B96" s="329" t="s">
        <v>222</v>
      </c>
      <c r="C96" s="27"/>
      <c r="D96" s="28"/>
      <c r="E96" s="29"/>
      <c r="F96" s="29"/>
      <c r="G96" s="29"/>
      <c r="H96" s="29"/>
      <c r="I96" s="29"/>
      <c r="J96" s="29"/>
      <c r="K96" s="29"/>
      <c r="L96" s="29"/>
      <c r="M96" s="29"/>
      <c r="N96" s="29"/>
      <c r="O96" s="29"/>
      <c r="P96" s="6"/>
      <c r="Q96" s="4"/>
      <c r="R96" s="4"/>
      <c r="S96" s="4"/>
      <c r="T96" s="4"/>
      <c r="U96" s="4"/>
      <c r="V96" s="4"/>
      <c r="W96" s="4"/>
      <c r="X96" s="4"/>
      <c r="Y96" s="4"/>
      <c r="Z96" s="4"/>
      <c r="AA96" s="4"/>
      <c r="AB96" s="4"/>
      <c r="AC96" s="4"/>
      <c r="AD96" s="4"/>
      <c r="AE96" s="4"/>
    </row>
    <row r="97" spans="2:31" x14ac:dyDescent="0.35">
      <c r="B97" s="337"/>
      <c r="C97" s="4"/>
      <c r="D97" s="4"/>
      <c r="E97" s="4"/>
      <c r="F97" s="4"/>
      <c r="G97" s="4"/>
      <c r="H97" s="4"/>
      <c r="I97" s="4"/>
      <c r="J97" s="4"/>
      <c r="K97" s="4"/>
      <c r="L97" s="4"/>
      <c r="M97" s="4"/>
      <c r="N97" s="4"/>
      <c r="O97" s="4"/>
      <c r="P97" s="6"/>
      <c r="Q97" s="4"/>
      <c r="R97" s="4"/>
      <c r="S97" s="4"/>
      <c r="T97" s="4"/>
      <c r="U97" s="4"/>
      <c r="V97" s="4"/>
      <c r="W97" s="4"/>
      <c r="X97" s="4"/>
      <c r="Y97" s="4"/>
      <c r="Z97" s="4"/>
      <c r="AA97" s="4"/>
      <c r="AB97" s="4"/>
      <c r="AC97" s="4"/>
      <c r="AD97" s="4"/>
      <c r="AE97" s="4"/>
    </row>
    <row r="98" spans="2:31" ht="15.5" x14ac:dyDescent="0.35">
      <c r="B98" s="338" t="s">
        <v>146</v>
      </c>
      <c r="C98" s="339">
        <f>SUM(E65:O65)</f>
        <v>873490.83072605054</v>
      </c>
      <c r="D98" s="4"/>
      <c r="E98" s="4"/>
      <c r="F98" s="4"/>
      <c r="G98" s="4"/>
      <c r="H98" s="4"/>
      <c r="I98" s="4"/>
      <c r="J98" s="4"/>
      <c r="K98" s="4"/>
      <c r="L98" s="4"/>
      <c r="M98" s="4"/>
      <c r="N98" s="4"/>
      <c r="O98" s="4"/>
      <c r="P98" s="6"/>
      <c r="Q98" s="4"/>
      <c r="R98" s="4"/>
      <c r="S98" s="4"/>
      <c r="T98" s="4"/>
      <c r="U98" s="4"/>
      <c r="V98" s="4"/>
      <c r="W98" s="4"/>
      <c r="X98" s="4"/>
      <c r="Y98" s="4"/>
      <c r="Z98" s="4"/>
      <c r="AA98" s="4"/>
      <c r="AB98" s="4"/>
      <c r="AC98" s="4"/>
      <c r="AD98" s="4"/>
      <c r="AE98" s="4"/>
    </row>
    <row r="99" spans="2:31" ht="15.5" x14ac:dyDescent="0.35">
      <c r="B99" s="338" t="s">
        <v>147</v>
      </c>
      <c r="C99" s="339">
        <f>C98-C88</f>
        <v>67197.008796368609</v>
      </c>
      <c r="D99" s="4"/>
      <c r="E99" s="4"/>
      <c r="F99" s="4"/>
      <c r="G99" s="4"/>
      <c r="H99" s="4"/>
      <c r="I99" s="4"/>
      <c r="J99" s="4"/>
      <c r="K99" s="4"/>
      <c r="L99" s="4"/>
      <c r="M99" s="4"/>
      <c r="N99" s="4"/>
      <c r="O99" s="4"/>
      <c r="P99" s="6"/>
      <c r="Q99" s="4"/>
      <c r="R99" s="4"/>
      <c r="S99" s="4"/>
      <c r="T99" s="4"/>
      <c r="U99" s="4"/>
      <c r="V99" s="4"/>
      <c r="W99" s="4"/>
      <c r="X99" s="4"/>
      <c r="Y99" s="4"/>
      <c r="Z99" s="4"/>
      <c r="AA99" s="4"/>
      <c r="AB99" s="4"/>
      <c r="AC99" s="4"/>
      <c r="AD99" s="4"/>
      <c r="AE99" s="4"/>
    </row>
    <row r="100" spans="2:31" ht="15.5" x14ac:dyDescent="0.35">
      <c r="B100" s="338" t="s">
        <v>148</v>
      </c>
      <c r="C100" s="339">
        <f>SUM(E66:O66)</f>
        <v>1427455.4548405721</v>
      </c>
      <c r="D100" s="4"/>
      <c r="E100" s="4"/>
      <c r="F100" s="4"/>
      <c r="G100" s="4"/>
      <c r="H100" s="4"/>
      <c r="I100" s="4"/>
      <c r="J100" s="4"/>
      <c r="K100" s="4"/>
      <c r="L100" s="4"/>
      <c r="M100" s="4"/>
      <c r="N100" s="4"/>
      <c r="O100" s="4"/>
      <c r="P100" s="6"/>
      <c r="Q100" s="4"/>
      <c r="R100" s="4"/>
      <c r="S100" s="4"/>
      <c r="T100" s="4"/>
      <c r="U100" s="4"/>
      <c r="V100" s="4"/>
      <c r="W100" s="4"/>
      <c r="X100" s="4"/>
      <c r="Y100" s="4"/>
      <c r="Z100" s="4"/>
      <c r="AA100" s="4"/>
      <c r="AB100" s="4"/>
      <c r="AC100" s="4"/>
      <c r="AD100" s="4"/>
      <c r="AE100" s="4"/>
    </row>
    <row r="101" spans="2:31" ht="15.5" x14ac:dyDescent="0.35">
      <c r="B101" s="338" t="s">
        <v>149</v>
      </c>
      <c r="C101" s="339">
        <f>C100-C89</f>
        <v>-103509.41000288143</v>
      </c>
      <c r="D101" s="4"/>
      <c r="E101" s="4"/>
      <c r="F101" s="4"/>
      <c r="G101" s="4"/>
      <c r="H101" s="4"/>
      <c r="I101" s="4"/>
      <c r="J101" s="4"/>
      <c r="K101" s="4"/>
      <c r="L101" s="4"/>
      <c r="M101" s="4"/>
      <c r="N101" s="4"/>
      <c r="O101" s="4"/>
      <c r="P101" s="6"/>
      <c r="Q101" s="4"/>
      <c r="R101" s="4"/>
      <c r="S101" s="4"/>
      <c r="T101" s="4"/>
      <c r="U101" s="4"/>
      <c r="V101" s="4"/>
      <c r="W101" s="4"/>
      <c r="X101" s="4"/>
      <c r="Y101" s="4"/>
      <c r="Z101" s="4"/>
      <c r="AA101" s="4"/>
      <c r="AB101" s="4"/>
      <c r="AC101" s="4"/>
      <c r="AD101" s="4"/>
      <c r="AE101" s="4"/>
    </row>
    <row r="102" spans="2:31" ht="15.5" x14ac:dyDescent="0.35">
      <c r="B102" s="338" t="s">
        <v>151</v>
      </c>
      <c r="C102" s="339">
        <f>SUM(E67:O67)</f>
        <v>2300946.2855666224</v>
      </c>
      <c r="D102" s="4"/>
      <c r="E102" s="4"/>
      <c r="F102" s="64"/>
      <c r="G102" s="4"/>
      <c r="H102" s="4"/>
      <c r="I102" s="4"/>
      <c r="J102" s="4"/>
      <c r="K102" s="4"/>
      <c r="L102" s="4"/>
      <c r="M102" s="4"/>
      <c r="N102" s="4"/>
      <c r="O102" s="4"/>
      <c r="P102" s="6"/>
      <c r="Q102" s="4"/>
      <c r="R102" s="4"/>
      <c r="S102" s="4"/>
      <c r="T102" s="4"/>
      <c r="U102" s="4"/>
      <c r="V102" s="4"/>
      <c r="W102" s="4"/>
      <c r="X102" s="4"/>
      <c r="Y102" s="4"/>
      <c r="Z102" s="4"/>
      <c r="AA102" s="4"/>
      <c r="AB102" s="4"/>
      <c r="AC102" s="4"/>
      <c r="AD102" s="4"/>
      <c r="AE102" s="4"/>
    </row>
    <row r="103" spans="2:31" ht="15.5" x14ac:dyDescent="0.35">
      <c r="B103" s="338" t="s">
        <v>152</v>
      </c>
      <c r="C103" s="339">
        <f>C102-C90</f>
        <v>-36312.401206512935</v>
      </c>
      <c r="D103" s="4"/>
      <c r="E103" s="4"/>
      <c r="F103" s="4"/>
      <c r="G103" s="4"/>
      <c r="H103" s="4"/>
      <c r="I103" s="4"/>
      <c r="J103" s="4"/>
      <c r="K103" s="4"/>
      <c r="L103" s="4"/>
      <c r="M103" s="4"/>
      <c r="N103" s="4"/>
      <c r="O103" s="4"/>
      <c r="P103" s="6"/>
      <c r="Q103" s="4"/>
      <c r="R103" s="4"/>
      <c r="S103" s="4"/>
      <c r="T103" s="4"/>
      <c r="U103" s="4"/>
      <c r="V103" s="4"/>
      <c r="W103" s="4"/>
      <c r="X103" s="4"/>
      <c r="Y103" s="4"/>
      <c r="Z103" s="4"/>
      <c r="AA103" s="4"/>
      <c r="AB103" s="4"/>
      <c r="AC103" s="4"/>
      <c r="AD103" s="4"/>
      <c r="AE103" s="4"/>
    </row>
    <row r="104" spans="2:31" ht="15.5" x14ac:dyDescent="0.35">
      <c r="B104" s="338" t="s">
        <v>223</v>
      </c>
      <c r="C104" s="340">
        <f>SUM(E30:O30)</f>
        <v>39.210433663691276</v>
      </c>
      <c r="D104" s="4"/>
      <c r="E104" s="4"/>
      <c r="F104" s="4"/>
      <c r="G104" s="4"/>
      <c r="H104" s="4"/>
      <c r="I104" s="4"/>
      <c r="J104" s="4"/>
      <c r="K104" s="4"/>
      <c r="L104" s="4"/>
      <c r="M104" s="4"/>
      <c r="N104" s="4"/>
      <c r="O104" s="4"/>
      <c r="P104" s="6"/>
      <c r="Q104" s="4"/>
      <c r="R104" s="4"/>
      <c r="S104" s="4"/>
      <c r="T104" s="4"/>
      <c r="U104" s="4"/>
      <c r="V104" s="4"/>
      <c r="W104" s="4"/>
      <c r="X104" s="4"/>
      <c r="Y104" s="4"/>
      <c r="Z104" s="4"/>
      <c r="AA104" s="4"/>
      <c r="AB104" s="4"/>
      <c r="AC104" s="4"/>
      <c r="AD104" s="4"/>
      <c r="AE104" s="4"/>
    </row>
    <row r="105" spans="2:31" ht="15.5" x14ac:dyDescent="0.35">
      <c r="B105" s="338" t="s">
        <v>224</v>
      </c>
      <c r="C105" s="340">
        <f>SUM(F59:O59)</f>
        <v>70.929463594562591</v>
      </c>
      <c r="D105" s="4"/>
      <c r="E105" s="64"/>
      <c r="F105" s="64"/>
      <c r="G105" s="4"/>
      <c r="H105" s="4"/>
      <c r="I105" s="4"/>
      <c r="J105" s="4"/>
      <c r="K105" s="4"/>
      <c r="L105" s="4"/>
      <c r="M105" s="4"/>
      <c r="N105" s="4"/>
      <c r="O105" s="4"/>
      <c r="P105" s="6"/>
      <c r="Q105" s="4"/>
      <c r="R105" s="4"/>
      <c r="S105" s="4"/>
      <c r="T105" s="4"/>
      <c r="U105" s="4"/>
      <c r="V105" s="4"/>
      <c r="W105" s="4"/>
      <c r="X105" s="4"/>
      <c r="Y105" s="4"/>
      <c r="Z105" s="4"/>
      <c r="AA105" s="4"/>
      <c r="AB105" s="4"/>
      <c r="AC105" s="4"/>
      <c r="AD105" s="4"/>
      <c r="AE105" s="4"/>
    </row>
    <row r="106" spans="2:31" ht="15.5" x14ac:dyDescent="0.35">
      <c r="B106" s="338" t="s">
        <v>225</v>
      </c>
      <c r="C106" s="339">
        <f>C102/'Model input'!$E$71</f>
        <v>54.265041402920204</v>
      </c>
      <c r="D106" s="4"/>
      <c r="E106" s="4"/>
      <c r="F106" s="4"/>
      <c r="G106" s="4"/>
      <c r="H106" s="4"/>
      <c r="I106" s="4"/>
      <c r="J106" s="4"/>
      <c r="K106" s="4"/>
      <c r="L106" s="4"/>
      <c r="M106" s="4"/>
      <c r="N106" s="4"/>
      <c r="O106" s="4"/>
      <c r="P106" s="6"/>
      <c r="Q106" s="4"/>
      <c r="R106" s="4"/>
      <c r="S106" s="4"/>
      <c r="T106" s="4"/>
      <c r="U106" s="4"/>
      <c r="V106" s="4"/>
      <c r="W106" s="4"/>
      <c r="X106" s="4"/>
      <c r="Y106" s="4"/>
      <c r="Z106" s="4"/>
      <c r="AA106" s="4"/>
      <c r="AB106" s="4"/>
      <c r="AC106" s="4"/>
      <c r="AD106" s="4"/>
      <c r="AE106" s="4"/>
    </row>
    <row r="107" spans="2:31" ht="15.65" customHeight="1" x14ac:dyDescent="0.4">
      <c r="B107" s="338" t="s">
        <v>150</v>
      </c>
      <c r="C107" s="339">
        <f>C106-C93</f>
        <v>5.3264395315842208</v>
      </c>
      <c r="D107" s="4"/>
      <c r="E107" s="4"/>
      <c r="F107" s="4"/>
      <c r="G107" s="4"/>
      <c r="H107" s="4"/>
      <c r="I107" s="4"/>
      <c r="J107" s="4"/>
      <c r="K107" s="4"/>
      <c r="L107" s="4"/>
      <c r="M107" s="4"/>
      <c r="N107" s="4"/>
      <c r="O107" s="4"/>
      <c r="P107" s="132"/>
      <c r="Q107" s="82"/>
      <c r="R107" s="82"/>
      <c r="S107" s="82"/>
      <c r="T107" s="82"/>
      <c r="U107" s="82"/>
      <c r="V107" s="82"/>
      <c r="W107" s="82"/>
      <c r="X107" s="82"/>
      <c r="Y107" s="82"/>
      <c r="Z107" s="82"/>
      <c r="AA107" s="82"/>
      <c r="AB107" s="82"/>
      <c r="AC107" s="82"/>
      <c r="AD107" s="82"/>
      <c r="AE107" s="82"/>
    </row>
    <row r="108" spans="2:31" ht="18" x14ac:dyDescent="0.4">
      <c r="B108" s="338" t="s">
        <v>226</v>
      </c>
      <c r="C108" s="341">
        <f>(AVERAGE(E28:N28)*('Model input'!$E$79/'Model input'!$D$79)*'Model input'!$C$71+AVERAGE(F57:O57)*'Model input'!$D$71)/('Model input'!$C$71+'Model input'!$D$71)/'Model input'!$C$63</f>
        <v>8.1292786747415961E-3</v>
      </c>
      <c r="D108" s="4"/>
      <c r="E108" s="4"/>
      <c r="F108" s="4"/>
      <c r="G108" s="4"/>
      <c r="H108" s="4"/>
      <c r="I108" s="4"/>
      <c r="J108" s="4"/>
      <c r="K108" s="4"/>
      <c r="L108" s="4"/>
      <c r="M108" s="4"/>
      <c r="N108" s="4"/>
      <c r="O108" s="4"/>
      <c r="P108" s="132"/>
      <c r="Q108" s="82"/>
      <c r="R108" s="82"/>
      <c r="S108" s="82"/>
      <c r="T108" s="82"/>
      <c r="U108" s="82"/>
      <c r="V108" s="82"/>
      <c r="W108" s="82"/>
      <c r="X108" s="82"/>
      <c r="Y108" s="82"/>
      <c r="Z108" s="82"/>
      <c r="AA108" s="82"/>
      <c r="AB108" s="82"/>
      <c r="AC108" s="82"/>
      <c r="AD108" s="82"/>
      <c r="AE108" s="82"/>
    </row>
    <row r="109" spans="2:31" x14ac:dyDescent="0.35">
      <c r="B109" s="344"/>
      <c r="C109" s="4"/>
      <c r="D109" s="4"/>
      <c r="E109" s="4"/>
      <c r="F109" s="4"/>
      <c r="G109" s="4"/>
      <c r="H109" s="4"/>
      <c r="I109" s="4"/>
      <c r="J109" s="4"/>
      <c r="K109" s="4"/>
      <c r="L109" s="4"/>
      <c r="M109" s="4"/>
      <c r="N109" s="4"/>
      <c r="O109" s="4"/>
      <c r="P109" s="6"/>
      <c r="Q109" s="4"/>
      <c r="R109" s="4"/>
      <c r="S109" s="4"/>
      <c r="T109" s="4"/>
      <c r="U109" s="4"/>
      <c r="V109" s="4"/>
      <c r="W109" s="4"/>
      <c r="X109" s="4"/>
      <c r="Y109" s="4"/>
      <c r="Z109" s="4"/>
      <c r="AA109" s="4"/>
      <c r="AB109" s="4"/>
      <c r="AC109" s="4"/>
      <c r="AD109" s="4"/>
      <c r="AE109" s="4"/>
    </row>
    <row r="110" spans="2:31" ht="17.5" customHeight="1" x14ac:dyDescent="0.4">
      <c r="B110" s="329" t="s">
        <v>228</v>
      </c>
      <c r="C110" s="27"/>
      <c r="D110" s="28"/>
      <c r="E110" s="29"/>
      <c r="F110" s="29"/>
      <c r="G110" s="29"/>
      <c r="H110" s="29"/>
      <c r="I110" s="29"/>
      <c r="J110" s="29"/>
      <c r="K110" s="29"/>
      <c r="L110" s="29"/>
      <c r="M110" s="29"/>
      <c r="N110" s="29"/>
      <c r="O110" s="29"/>
      <c r="P110" s="6"/>
      <c r="Q110" s="4"/>
      <c r="R110" s="4"/>
      <c r="S110" s="4"/>
      <c r="T110" s="4"/>
      <c r="U110" s="4"/>
      <c r="V110" s="4"/>
      <c r="W110" s="4"/>
      <c r="X110" s="4"/>
      <c r="Y110" s="4"/>
      <c r="Z110" s="4"/>
      <c r="AA110" s="4"/>
      <c r="AB110" s="4"/>
      <c r="AC110" s="4"/>
      <c r="AD110" s="4"/>
      <c r="AE110" s="4"/>
    </row>
    <row r="111" spans="2:31" ht="15.5" x14ac:dyDescent="0.35">
      <c r="B111" s="345"/>
      <c r="C111" s="4"/>
      <c r="D111" s="4"/>
      <c r="E111" s="4"/>
      <c r="F111" s="4"/>
      <c r="G111" s="4"/>
      <c r="H111" s="4"/>
      <c r="I111" s="4"/>
      <c r="J111" s="4"/>
      <c r="K111" s="4"/>
      <c r="L111" s="4"/>
      <c r="M111" s="4"/>
      <c r="N111" s="4"/>
      <c r="O111" s="4"/>
      <c r="P111" s="6"/>
      <c r="Q111" s="4"/>
      <c r="R111" s="4"/>
      <c r="S111" s="4"/>
      <c r="T111" s="4"/>
      <c r="U111" s="4"/>
      <c r="V111" s="4"/>
      <c r="W111" s="4"/>
      <c r="X111" s="4"/>
      <c r="Y111" s="4"/>
      <c r="Z111" s="4"/>
      <c r="AA111" s="4"/>
      <c r="AB111" s="4"/>
      <c r="AC111" s="4"/>
      <c r="AD111" s="4"/>
      <c r="AE111" s="4"/>
    </row>
    <row r="112" spans="2:31" ht="18" x14ac:dyDescent="0.4">
      <c r="B112" s="346" t="s">
        <v>153</v>
      </c>
      <c r="C112" s="347">
        <f>C98/C88</f>
        <v>1.0833405973960557</v>
      </c>
      <c r="D112" s="4" t="s">
        <v>154</v>
      </c>
      <c r="E112" s="4"/>
      <c r="F112" s="4"/>
      <c r="G112" s="4"/>
      <c r="H112" s="4"/>
      <c r="I112" s="4"/>
      <c r="J112" s="4"/>
      <c r="K112" s="4"/>
      <c r="L112" s="4"/>
      <c r="M112" s="4"/>
      <c r="N112" s="4"/>
      <c r="O112" s="4"/>
      <c r="P112" s="6"/>
      <c r="Q112" s="4"/>
      <c r="R112" s="4"/>
      <c r="S112" s="4"/>
      <c r="T112" s="4"/>
      <c r="U112" s="4"/>
      <c r="V112" s="4"/>
      <c r="W112" s="4"/>
      <c r="X112" s="4"/>
      <c r="Y112" s="4"/>
      <c r="Z112" s="4"/>
      <c r="AA112" s="4"/>
      <c r="AB112" s="4"/>
      <c r="AC112" s="4"/>
      <c r="AD112" s="4"/>
      <c r="AE112" s="4"/>
    </row>
    <row r="113" spans="1:31" ht="18" x14ac:dyDescent="0.4">
      <c r="B113" s="346" t="s">
        <v>155</v>
      </c>
      <c r="C113" s="347">
        <f>C100/C89</f>
        <v>0.93238942814441039</v>
      </c>
      <c r="D113" s="4"/>
      <c r="E113" s="4"/>
      <c r="F113" s="4"/>
      <c r="G113" s="4"/>
      <c r="H113" s="4"/>
      <c r="I113" s="4"/>
      <c r="J113" s="4"/>
      <c r="K113" s="4"/>
      <c r="L113" s="4"/>
      <c r="M113" s="4"/>
      <c r="N113" s="4"/>
      <c r="O113" s="4"/>
      <c r="P113" s="6"/>
      <c r="Q113" s="4"/>
      <c r="R113" s="4"/>
      <c r="S113" s="4"/>
      <c r="T113" s="4"/>
      <c r="U113" s="4"/>
      <c r="V113" s="4"/>
      <c r="W113" s="4"/>
      <c r="X113" s="4"/>
      <c r="Y113" s="4"/>
      <c r="Z113" s="4"/>
      <c r="AA113" s="4"/>
      <c r="AB113" s="4"/>
      <c r="AC113" s="4"/>
      <c r="AD113" s="4"/>
      <c r="AE113" s="4"/>
    </row>
    <row r="114" spans="1:31" ht="18" x14ac:dyDescent="0.4">
      <c r="B114" s="348" t="s">
        <v>26</v>
      </c>
      <c r="C114" s="349">
        <f>C102/C90</f>
        <v>0.98446367900480602</v>
      </c>
      <c r="D114" s="4"/>
      <c r="E114" s="4"/>
      <c r="F114" s="4"/>
      <c r="G114" s="4"/>
      <c r="H114" s="4"/>
      <c r="I114" s="4"/>
      <c r="J114" s="4"/>
      <c r="K114" s="4"/>
      <c r="L114" s="4"/>
      <c r="M114" s="4"/>
      <c r="N114" s="4"/>
      <c r="O114" s="4"/>
      <c r="P114" s="6"/>
      <c r="Q114" s="4"/>
      <c r="R114" s="4"/>
      <c r="S114" s="4"/>
      <c r="T114" s="4"/>
      <c r="U114" s="4"/>
      <c r="V114" s="4"/>
      <c r="W114" s="4"/>
      <c r="X114" s="4"/>
      <c r="Y114" s="4"/>
      <c r="Z114" s="4"/>
      <c r="AA114" s="4"/>
      <c r="AB114" s="4"/>
      <c r="AC114" s="4"/>
      <c r="AD114" s="4"/>
      <c r="AE114" s="4"/>
    </row>
    <row r="115" spans="1:31" x14ac:dyDescent="0.35">
      <c r="A115" s="260"/>
      <c r="B115" s="274"/>
      <c r="C115" s="5"/>
      <c r="D115" s="5"/>
      <c r="E115" s="5"/>
      <c r="F115" s="5"/>
      <c r="G115" s="5"/>
      <c r="H115" s="5"/>
      <c r="I115" s="5"/>
      <c r="J115" s="5"/>
      <c r="K115" s="5"/>
      <c r="L115" s="5"/>
      <c r="M115" s="5"/>
      <c r="N115" s="5"/>
      <c r="O115" s="5"/>
      <c r="P115" s="6"/>
      <c r="Q115" s="4"/>
      <c r="R115" s="4"/>
      <c r="S115" s="4"/>
      <c r="T115" s="4"/>
      <c r="U115" s="4"/>
      <c r="V115" s="4"/>
      <c r="W115" s="4"/>
      <c r="X115" s="4"/>
      <c r="Y115" s="4"/>
      <c r="Z115" s="4"/>
      <c r="AA115" s="4"/>
      <c r="AB115" s="4"/>
      <c r="AC115" s="4"/>
      <c r="AD115" s="4"/>
      <c r="AE115" s="4"/>
    </row>
  </sheetData>
  <mergeCells count="4">
    <mergeCell ref="B5:B13"/>
    <mergeCell ref="B14:B27"/>
    <mergeCell ref="B34:B42"/>
    <mergeCell ref="B43:B56"/>
  </mergeCells>
  <phoneticPr fontId="15" type="noConversion"/>
  <conditionalFormatting sqref="C1:AE1 B2:AE2 C3:Q3 R3:AD15 AE3:AE16 P4:Q4 B5:Q16 B17:AE30 B31:Q31 AE31:AE43 C32:Q32 R32:AD43 P33:Q33 B34:Q43 B44:AE61 C62:AE62 B63:AE63 P64:AE64 B65:AE69 C70:AE70 B71:AE71 C72:AE72 I73:AE73 B74:AE79 C80:AE80 J81:AE81 C96:AE96 B97:AE109 C110:AE110 B111:AE115 B82:AE95">
    <cfRule type="cellIs" dxfId="0" priority="1" operator="lessThan">
      <formula>0</formula>
    </cfRule>
  </conditionalFormatting>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A289-6F05-48A5-BC7F-BA302E15D8F6}">
  <dimension ref="A1:O76"/>
  <sheetViews>
    <sheetView showGridLines="0" zoomScaleNormal="100" workbookViewId="0">
      <selection activeCell="B12" sqref="B12"/>
    </sheetView>
  </sheetViews>
  <sheetFormatPr baseColWidth="10" defaultColWidth="9.453125" defaultRowHeight="14.5" x14ac:dyDescent="0.35"/>
  <cols>
    <col min="1" max="1" width="5.7265625" customWidth="1"/>
    <col min="2" max="2" width="48.453125" customWidth="1"/>
    <col min="3" max="3" width="15.54296875" customWidth="1"/>
    <col min="4" max="4" width="9.7265625" customWidth="1"/>
    <col min="5" max="5" width="15.54296875" customWidth="1"/>
    <col min="6" max="6" width="9.453125" customWidth="1"/>
    <col min="7" max="7" width="8.81640625" customWidth="1"/>
    <col min="8" max="8" width="10.1796875" customWidth="1"/>
    <col min="9" max="9" width="9.1796875" customWidth="1"/>
    <col min="10" max="10" width="8.81640625" customWidth="1"/>
    <col min="11" max="11" width="10" customWidth="1"/>
    <col min="12" max="12" width="7.54296875" customWidth="1"/>
    <col min="13" max="13" width="5.81640625" customWidth="1"/>
  </cols>
  <sheetData>
    <row r="1" spans="1:15" ht="18" x14ac:dyDescent="0.4">
      <c r="A1" s="4"/>
      <c r="B1" s="272" t="s">
        <v>261</v>
      </c>
      <c r="C1" s="3"/>
      <c r="D1" s="3"/>
      <c r="E1" s="3"/>
      <c r="F1" s="3"/>
      <c r="G1" s="3"/>
      <c r="H1" s="3"/>
      <c r="I1" s="3"/>
      <c r="J1" s="3"/>
      <c r="K1" s="3"/>
      <c r="L1" s="3"/>
      <c r="M1" s="3"/>
      <c r="N1" s="3"/>
      <c r="O1" s="236"/>
    </row>
    <row r="2" spans="1:15" x14ac:dyDescent="0.35">
      <c r="A2" s="4"/>
      <c r="B2" s="273" t="s">
        <v>294</v>
      </c>
      <c r="C2" s="4"/>
      <c r="D2" s="4"/>
      <c r="E2" s="4"/>
      <c r="J2" s="4"/>
      <c r="K2" s="4"/>
      <c r="L2" s="4"/>
      <c r="M2" s="4"/>
      <c r="N2" s="4"/>
      <c r="O2" s="237"/>
    </row>
    <row r="3" spans="1:15" x14ac:dyDescent="0.35">
      <c r="A3" s="4"/>
      <c r="B3" s="5"/>
      <c r="C3" s="4"/>
      <c r="D3" s="4"/>
      <c r="E3" s="4"/>
      <c r="J3" s="4"/>
      <c r="K3" s="4"/>
      <c r="L3" s="4"/>
      <c r="M3" s="4"/>
      <c r="N3" s="4"/>
      <c r="O3" s="237"/>
    </row>
    <row r="4" spans="1:15" x14ac:dyDescent="0.35">
      <c r="A4" s="4"/>
      <c r="B4" s="8" t="s">
        <v>201</v>
      </c>
      <c r="C4" s="8" t="s">
        <v>69</v>
      </c>
      <c r="D4" s="8" t="s">
        <v>202</v>
      </c>
      <c r="E4" s="7" t="s">
        <v>203</v>
      </c>
      <c r="J4" s="4"/>
      <c r="K4" s="4"/>
      <c r="L4" s="4"/>
      <c r="M4" s="4"/>
      <c r="N4" s="4"/>
      <c r="O4" s="237"/>
    </row>
    <row r="5" spans="1:15" x14ac:dyDescent="0.35">
      <c r="A5" s="4"/>
      <c r="B5" s="9" t="s">
        <v>204</v>
      </c>
      <c r="C5" s="350">
        <v>0.1</v>
      </c>
      <c r="D5" s="10">
        <v>0.1</v>
      </c>
      <c r="E5" s="352" t="s">
        <v>205</v>
      </c>
      <c r="J5" s="4"/>
      <c r="K5" s="4"/>
      <c r="L5" s="4"/>
      <c r="M5" s="4"/>
      <c r="N5" s="4"/>
      <c r="O5" s="237"/>
    </row>
    <row r="6" spans="1:15" x14ac:dyDescent="0.35">
      <c r="A6" s="4"/>
      <c r="B6" s="222" t="s">
        <v>246</v>
      </c>
      <c r="C6" s="351">
        <v>0.1</v>
      </c>
      <c r="D6" s="195">
        <v>0.1</v>
      </c>
      <c r="E6" s="194" t="s">
        <v>235</v>
      </c>
      <c r="J6" s="4"/>
      <c r="K6" s="4"/>
      <c r="L6" s="4"/>
      <c r="M6" s="4"/>
      <c r="N6" s="4"/>
      <c r="O6" s="237"/>
    </row>
    <row r="7" spans="1:15" x14ac:dyDescent="0.35">
      <c r="A7" s="4"/>
      <c r="B7" s="218" t="s">
        <v>245</v>
      </c>
      <c r="C7" s="350">
        <v>0</v>
      </c>
      <c r="D7" s="10">
        <v>0</v>
      </c>
      <c r="E7" s="218" t="s">
        <v>235</v>
      </c>
      <c r="J7" s="4"/>
      <c r="K7" s="4"/>
      <c r="L7" s="4"/>
      <c r="M7" s="4"/>
      <c r="N7" s="4"/>
      <c r="O7" s="237"/>
    </row>
    <row r="8" spans="1:15" x14ac:dyDescent="0.35">
      <c r="A8" s="4"/>
      <c r="B8" s="207" t="s">
        <v>242</v>
      </c>
      <c r="C8" s="350">
        <v>1</v>
      </c>
      <c r="D8" s="10">
        <v>1</v>
      </c>
      <c r="E8" s="202" t="s">
        <v>239</v>
      </c>
      <c r="J8" s="4"/>
      <c r="K8" s="4"/>
      <c r="L8" s="4"/>
      <c r="M8" s="4"/>
      <c r="N8" s="4"/>
      <c r="O8" s="237"/>
    </row>
    <row r="9" spans="1:15" x14ac:dyDescent="0.35">
      <c r="A9" s="4"/>
      <c r="B9" s="204" t="s">
        <v>241</v>
      </c>
      <c r="C9" s="350">
        <v>-7.0000000000000007E-2</v>
      </c>
      <c r="D9" s="10">
        <v>-7.2999999999999995E-2</v>
      </c>
      <c r="E9" s="204" t="s">
        <v>235</v>
      </c>
      <c r="J9" s="4"/>
      <c r="K9" s="4"/>
      <c r="L9" s="4"/>
      <c r="M9" s="4"/>
      <c r="N9" s="4"/>
      <c r="O9" s="237"/>
    </row>
    <row r="10" spans="1:15" x14ac:dyDescent="0.35">
      <c r="A10" s="4"/>
      <c r="B10" s="275" t="s">
        <v>236</v>
      </c>
      <c r="C10" s="350">
        <v>0</v>
      </c>
      <c r="D10" s="10">
        <v>0</v>
      </c>
      <c r="E10" s="196" t="s">
        <v>282</v>
      </c>
      <c r="J10" s="4"/>
      <c r="K10" s="4"/>
      <c r="L10" s="4"/>
      <c r="M10" s="4"/>
      <c r="N10" s="4"/>
      <c r="O10" s="237"/>
    </row>
    <row r="11" spans="1:15" x14ac:dyDescent="0.35">
      <c r="A11" s="6"/>
      <c r="B11" s="274"/>
      <c r="C11" s="4"/>
      <c r="D11" s="4"/>
      <c r="E11" s="4"/>
      <c r="F11" s="4"/>
      <c r="G11" s="4"/>
      <c r="H11" s="4"/>
      <c r="I11" s="4"/>
      <c r="J11" s="4"/>
      <c r="K11" s="4"/>
      <c r="L11" s="4"/>
      <c r="M11" s="4"/>
      <c r="N11" s="4"/>
      <c r="O11" s="237"/>
    </row>
    <row r="12" spans="1:15" x14ac:dyDescent="0.35">
      <c r="A12" s="6"/>
      <c r="B12" s="123" t="s">
        <v>285</v>
      </c>
      <c r="C12" s="358">
        <f>SROI!C114</f>
        <v>0.98446367900480602</v>
      </c>
      <c r="D12" s="4"/>
      <c r="E12" s="4"/>
      <c r="F12" s="4"/>
      <c r="G12" s="4"/>
      <c r="H12" s="4"/>
      <c r="I12" s="4"/>
      <c r="J12" s="4"/>
      <c r="K12" s="4"/>
      <c r="L12" s="4"/>
      <c r="M12" s="4"/>
      <c r="N12" s="4"/>
      <c r="O12" s="237"/>
    </row>
    <row r="13" spans="1:15" x14ac:dyDescent="0.35">
      <c r="A13" s="6"/>
      <c r="B13" s="362"/>
      <c r="C13" s="362"/>
      <c r="D13" s="4"/>
      <c r="E13" s="4"/>
      <c r="F13" s="4"/>
      <c r="G13" s="4"/>
      <c r="H13" s="363"/>
      <c r="I13" s="363"/>
      <c r="J13" s="363"/>
      <c r="K13" s="363"/>
      <c r="L13" s="363"/>
      <c r="M13" s="4"/>
      <c r="N13" s="4"/>
      <c r="O13" s="237"/>
    </row>
    <row r="14" spans="1:15" x14ac:dyDescent="0.35">
      <c r="A14" s="6"/>
      <c r="B14" s="262"/>
      <c r="M14" s="4"/>
      <c r="N14" s="4"/>
      <c r="O14" s="237"/>
    </row>
    <row r="15" spans="1:15" x14ac:dyDescent="0.35">
      <c r="A15" s="4"/>
      <c r="B15" s="262" t="s">
        <v>204</v>
      </c>
      <c r="C15" t="s">
        <v>25</v>
      </c>
      <c r="D15" s="238" t="s">
        <v>237</v>
      </c>
      <c r="E15" t="s">
        <v>237</v>
      </c>
      <c r="F15" t="s">
        <v>25</v>
      </c>
      <c r="K15" s="238" t="s">
        <v>237</v>
      </c>
      <c r="L15" s="238" t="s">
        <v>25</v>
      </c>
      <c r="M15" s="4"/>
      <c r="N15" s="4"/>
      <c r="O15" s="237"/>
    </row>
    <row r="16" spans="1:15" x14ac:dyDescent="0.35">
      <c r="A16" s="4"/>
      <c r="B16" s="262">
        <v>0</v>
      </c>
      <c r="C16" s="239">
        <v>1.6</v>
      </c>
      <c r="D16" s="238" t="str">
        <f>"0%"</f>
        <v>0%</v>
      </c>
      <c r="E16" s="240">
        <v>0</v>
      </c>
      <c r="F16" s="239">
        <v>0.98</v>
      </c>
      <c r="K16" s="241">
        <v>0</v>
      </c>
      <c r="L16" s="238">
        <v>0.98</v>
      </c>
      <c r="M16" s="4"/>
      <c r="N16" s="4"/>
      <c r="O16" s="237"/>
    </row>
    <row r="17" spans="1:15" x14ac:dyDescent="0.35">
      <c r="A17" s="4"/>
      <c r="B17" s="262">
        <v>0.05</v>
      </c>
      <c r="C17" s="239">
        <v>1.2</v>
      </c>
      <c r="D17" s="238" t="str">
        <f>"10%"</f>
        <v>10%</v>
      </c>
      <c r="E17" s="240">
        <v>0.1</v>
      </c>
      <c r="F17" s="239">
        <v>1.0900000000000001</v>
      </c>
      <c r="K17" s="241">
        <v>0.1</v>
      </c>
      <c r="L17" s="238">
        <v>1.0900000000000001</v>
      </c>
      <c r="M17" s="4"/>
      <c r="N17" s="4"/>
      <c r="O17" s="237"/>
    </row>
    <row r="18" spans="1:15" x14ac:dyDescent="0.35">
      <c r="A18" s="4"/>
      <c r="B18" s="262">
        <v>0.1</v>
      </c>
      <c r="C18" s="239">
        <v>1</v>
      </c>
      <c r="D18" s="238" t="str">
        <f>"17%"</f>
        <v>17%</v>
      </c>
      <c r="E18" s="240">
        <v>0.17</v>
      </c>
      <c r="F18" s="239">
        <v>1.18</v>
      </c>
      <c r="K18" s="241">
        <v>0.17</v>
      </c>
      <c r="L18" s="238">
        <v>1.18</v>
      </c>
      <c r="M18" s="4"/>
      <c r="N18" s="4"/>
      <c r="O18" s="237"/>
    </row>
    <row r="19" spans="1:15" x14ac:dyDescent="0.35">
      <c r="A19" s="4"/>
      <c r="B19" s="262">
        <v>0.15</v>
      </c>
      <c r="C19" s="239">
        <v>0.8</v>
      </c>
      <c r="M19" s="4"/>
      <c r="N19" s="4"/>
      <c r="O19" s="237"/>
    </row>
    <row r="20" spans="1:15" ht="43.15" customHeight="1" x14ac:dyDescent="0.35">
      <c r="A20" s="4"/>
      <c r="B20" s="262"/>
      <c r="M20" s="4"/>
      <c r="N20" s="4"/>
      <c r="O20" s="237"/>
    </row>
    <row r="21" spans="1:15" x14ac:dyDescent="0.35">
      <c r="A21" s="4"/>
      <c r="B21" s="262"/>
      <c r="D21" s="4"/>
      <c r="E21" s="4"/>
      <c r="F21" s="4"/>
      <c r="G21" s="242"/>
      <c r="H21" s="4"/>
      <c r="I21" s="4"/>
      <c r="J21" s="4"/>
      <c r="K21" s="4"/>
      <c r="L21" s="4"/>
      <c r="M21" s="4"/>
      <c r="N21" s="4"/>
      <c r="O21" s="237"/>
    </row>
    <row r="22" spans="1:15" ht="6.75" customHeight="1" x14ac:dyDescent="0.35">
      <c r="A22" s="4"/>
      <c r="B22" s="262"/>
      <c r="D22" s="4"/>
      <c r="E22" s="4"/>
      <c r="F22" s="4"/>
      <c r="G22" s="4"/>
      <c r="H22" s="4"/>
      <c r="I22" s="4"/>
      <c r="J22" s="4"/>
      <c r="K22" s="4"/>
      <c r="L22" s="4"/>
      <c r="M22" s="4"/>
      <c r="N22" s="4"/>
      <c r="O22" s="237"/>
    </row>
    <row r="23" spans="1:15" ht="12.75" customHeight="1" x14ac:dyDescent="0.35">
      <c r="A23" s="4"/>
      <c r="B23" s="355" t="s">
        <v>286</v>
      </c>
      <c r="D23" s="4"/>
      <c r="E23" s="4"/>
      <c r="F23" s="4"/>
      <c r="G23" s="4"/>
      <c r="H23" s="4"/>
      <c r="I23" s="4"/>
      <c r="J23" s="4"/>
      <c r="K23" s="4"/>
      <c r="L23" s="4"/>
      <c r="M23" s="4"/>
      <c r="N23" s="4"/>
      <c r="O23" s="237"/>
    </row>
    <row r="24" spans="1:15" x14ac:dyDescent="0.35">
      <c r="A24" s="4"/>
      <c r="B24" s="355" t="s">
        <v>287</v>
      </c>
      <c r="D24" s="4"/>
      <c r="E24" s="4"/>
      <c r="F24" s="4"/>
      <c r="G24" s="4"/>
      <c r="H24" s="4"/>
      <c r="I24" s="4"/>
      <c r="J24" s="4"/>
      <c r="K24" s="4"/>
      <c r="L24" s="4"/>
      <c r="M24" s="4"/>
      <c r="N24" s="4"/>
      <c r="O24" s="237"/>
    </row>
    <row r="25" spans="1:15" x14ac:dyDescent="0.35">
      <c r="A25" s="4"/>
      <c r="B25" s="263"/>
      <c r="D25" s="4"/>
      <c r="E25" s="4"/>
      <c r="F25" s="4"/>
      <c r="G25" s="4"/>
      <c r="H25" s="4"/>
      <c r="I25" s="4"/>
      <c r="J25" s="4"/>
      <c r="K25" s="4"/>
      <c r="L25" s="4"/>
      <c r="M25" s="4"/>
      <c r="N25" s="4"/>
      <c r="O25" s="237"/>
    </row>
    <row r="26" spans="1:15" x14ac:dyDescent="0.35">
      <c r="A26" s="6"/>
      <c r="B26" s="360" t="s">
        <v>290</v>
      </c>
      <c r="C26" s="361"/>
      <c r="D26" s="4"/>
      <c r="F26" s="366" t="s">
        <v>289</v>
      </c>
      <c r="G26" s="367"/>
      <c r="H26" s="367"/>
      <c r="I26" s="367"/>
      <c r="J26" s="367"/>
      <c r="K26" s="367"/>
      <c r="L26" s="4"/>
      <c r="M26" s="4"/>
      <c r="O26" s="237"/>
    </row>
    <row r="27" spans="1:15" ht="16.5" customHeight="1" x14ac:dyDescent="0.35">
      <c r="A27" s="6"/>
      <c r="B27" s="360"/>
      <c r="C27" s="361"/>
      <c r="E27" s="244">
        <f>C12</f>
        <v>0.98446367900480602</v>
      </c>
      <c r="F27" s="199">
        <v>0.05</v>
      </c>
      <c r="G27" s="200">
        <v>0.1</v>
      </c>
      <c r="H27" s="199">
        <v>0.15</v>
      </c>
      <c r="I27" s="199">
        <v>0.2</v>
      </c>
      <c r="J27" s="199">
        <v>0.25</v>
      </c>
      <c r="K27" s="199">
        <v>0.3</v>
      </c>
      <c r="L27" s="245"/>
      <c r="M27" s="4"/>
      <c r="N27" s="4"/>
      <c r="O27" s="237"/>
    </row>
    <row r="28" spans="1:15" ht="17.25" customHeight="1" x14ac:dyDescent="0.35">
      <c r="B28" s="360"/>
      <c r="C28" s="361"/>
      <c r="D28" s="364" t="s">
        <v>242</v>
      </c>
      <c r="E28" s="197">
        <v>0.5</v>
      </c>
      <c r="F28" s="246">
        <f t="dataTable" ref="F28:K33" dt2D="1" dtr="1" r1="C6" r2="C8" ca="1"/>
        <v>-3.6386615181187555E-2</v>
      </c>
      <c r="G28" s="246">
        <v>5.286259460884956E-2</v>
      </c>
      <c r="H28" s="246">
        <v>0.14211180439888665</v>
      </c>
      <c r="I28" s="246">
        <v>0.2313610141889238</v>
      </c>
      <c r="J28" s="246">
        <v>0.32061022397896094</v>
      </c>
      <c r="K28" s="246">
        <v>0.40985943376899808</v>
      </c>
      <c r="L28" s="245"/>
      <c r="M28" s="4"/>
      <c r="O28" s="247"/>
    </row>
    <row r="29" spans="1:15" x14ac:dyDescent="0.35">
      <c r="B29" s="360"/>
      <c r="C29" s="361"/>
      <c r="D29" s="365"/>
      <c r="E29" s="198">
        <v>0.6</v>
      </c>
      <c r="F29" s="246">
        <v>6.4782716784036479E-2</v>
      </c>
      <c r="G29" s="246">
        <v>0.15403192657407358</v>
      </c>
      <c r="H29" s="246">
        <v>0.24328113636411069</v>
      </c>
      <c r="I29" s="246">
        <v>0.33253034615414789</v>
      </c>
      <c r="J29" s="246">
        <v>0.42177955594418498</v>
      </c>
      <c r="K29" s="246">
        <v>0.51102876573422207</v>
      </c>
      <c r="L29" s="245"/>
      <c r="M29" s="4"/>
      <c r="O29" s="247"/>
    </row>
    <row r="30" spans="1:15" x14ac:dyDescent="0.35">
      <c r="B30" s="360"/>
      <c r="C30" s="361"/>
      <c r="D30" s="365"/>
      <c r="E30" s="197">
        <v>0.7</v>
      </c>
      <c r="F30" s="246">
        <v>0.20852749120624409</v>
      </c>
      <c r="G30" s="246">
        <v>0.29777670099628112</v>
      </c>
      <c r="H30" s="246">
        <v>0.38702591078631832</v>
      </c>
      <c r="I30" s="246">
        <v>0.47627512057635552</v>
      </c>
      <c r="J30" s="246">
        <v>0.56552433036639249</v>
      </c>
      <c r="K30" s="246">
        <v>0.65477354015642963</v>
      </c>
      <c r="L30" s="245"/>
      <c r="M30" s="4"/>
      <c r="O30" s="247"/>
    </row>
    <row r="31" spans="1:15" x14ac:dyDescent="0.35">
      <c r="B31" s="360"/>
      <c r="C31" s="361"/>
      <c r="D31" s="365"/>
      <c r="E31" s="223">
        <v>0.8</v>
      </c>
      <c r="F31" s="246">
        <v>0.39484770808543557</v>
      </c>
      <c r="G31" s="246">
        <v>0.4840969178754726</v>
      </c>
      <c r="H31" s="246">
        <v>0.57334612766550974</v>
      </c>
      <c r="I31" s="246">
        <v>0.66259533745554688</v>
      </c>
      <c r="J31" s="246">
        <v>0.75184454724558381</v>
      </c>
      <c r="K31" s="246">
        <v>0.84109375703562128</v>
      </c>
      <c r="L31" s="245"/>
      <c r="M31" s="4"/>
      <c r="O31" s="247"/>
    </row>
    <row r="32" spans="1:15" x14ac:dyDescent="0.35">
      <c r="B32" s="360"/>
      <c r="C32" s="361"/>
      <c r="D32" s="365"/>
      <c r="E32" s="197">
        <v>0.9</v>
      </c>
      <c r="F32" s="246">
        <v>0.62374336742161052</v>
      </c>
      <c r="G32" s="246">
        <v>0.71299257721164766</v>
      </c>
      <c r="H32" s="246">
        <v>0.80224178700168469</v>
      </c>
      <c r="I32" s="246">
        <v>0.89149099679172195</v>
      </c>
      <c r="J32" s="246">
        <v>0.98074020658175887</v>
      </c>
      <c r="K32" s="246">
        <v>1.069989416371796</v>
      </c>
      <c r="L32" s="245"/>
      <c r="M32" s="4"/>
      <c r="O32" s="247"/>
    </row>
    <row r="33" spans="2:15" x14ac:dyDescent="0.35">
      <c r="B33" s="360"/>
      <c r="C33" s="361"/>
      <c r="D33" s="365"/>
      <c r="E33" s="224">
        <v>1</v>
      </c>
      <c r="F33" s="246">
        <v>0.89521446921476888</v>
      </c>
      <c r="G33" s="246">
        <v>0.98446367900480602</v>
      </c>
      <c r="H33" s="246">
        <v>1.0737128887948433</v>
      </c>
      <c r="I33" s="246">
        <v>1.1629620985848803</v>
      </c>
      <c r="J33" s="246">
        <v>1.2522113083749176</v>
      </c>
      <c r="K33" s="246">
        <v>1.3414605181649546</v>
      </c>
      <c r="L33" s="245"/>
      <c r="M33" s="4"/>
      <c r="O33" s="247"/>
    </row>
    <row r="34" spans="2:15" x14ac:dyDescent="0.35">
      <c r="B34" s="264"/>
      <c r="C34" s="243"/>
      <c r="D34" s="248"/>
      <c r="E34" s="225"/>
      <c r="F34" s="246"/>
      <c r="G34" s="246"/>
      <c r="H34" s="246"/>
      <c r="I34" s="246"/>
      <c r="J34" s="246"/>
      <c r="K34" s="246"/>
      <c r="L34" s="4"/>
      <c r="M34" s="4"/>
      <c r="O34" s="247"/>
    </row>
    <row r="35" spans="2:15" x14ac:dyDescent="0.35">
      <c r="B35" s="265"/>
      <c r="C35" s="249"/>
      <c r="O35" s="247"/>
    </row>
    <row r="36" spans="2:15" x14ac:dyDescent="0.35">
      <c r="B36" s="370" t="s">
        <v>291</v>
      </c>
      <c r="C36" s="371"/>
      <c r="E36" s="368" t="s">
        <v>241</v>
      </c>
      <c r="F36" s="208" t="s">
        <v>25</v>
      </c>
      <c r="O36" s="247"/>
    </row>
    <row r="37" spans="2:15" x14ac:dyDescent="0.35">
      <c r="B37" s="372"/>
      <c r="C37" s="371"/>
      <c r="E37" s="369"/>
      <c r="F37" s="209">
        <f>C12</f>
        <v>0.98446367900480602</v>
      </c>
      <c r="O37" s="247"/>
    </row>
    <row r="38" spans="2:15" ht="15.65" customHeight="1" x14ac:dyDescent="0.35">
      <c r="B38" s="372"/>
      <c r="C38" s="371"/>
      <c r="D38" s="250"/>
      <c r="E38" s="210">
        <v>-0.15</v>
      </c>
      <c r="F38" s="213">
        <f t="dataTable" ref="F38:F45" dt2D="0" dtr="0" r1="C9"/>
        <v>0.9291840398195097</v>
      </c>
      <c r="O38" s="247"/>
    </row>
    <row r="39" spans="2:15" x14ac:dyDescent="0.35">
      <c r="B39" s="372"/>
      <c r="C39" s="371"/>
      <c r="D39" s="250"/>
      <c r="E39" s="211">
        <v>-0.1</v>
      </c>
      <c r="F39" s="214">
        <v>0.96284520321549039</v>
      </c>
      <c r="O39" s="247"/>
    </row>
    <row r="40" spans="2:15" x14ac:dyDescent="0.35">
      <c r="B40" s="372"/>
      <c r="C40" s="371"/>
      <c r="D40" s="250"/>
      <c r="E40" s="212">
        <v>-7.2999999999999995E-2</v>
      </c>
      <c r="F40" s="215">
        <v>0.98225313828874361</v>
      </c>
      <c r="O40" s="247"/>
    </row>
    <row r="41" spans="2:15" x14ac:dyDescent="0.35">
      <c r="B41" s="372"/>
      <c r="C41" s="371"/>
      <c r="D41" s="250"/>
      <c r="E41" s="211">
        <v>-0.05</v>
      </c>
      <c r="F41" s="214">
        <v>0.99947898741947516</v>
      </c>
      <c r="O41" s="247"/>
    </row>
    <row r="42" spans="2:15" x14ac:dyDescent="0.35">
      <c r="B42" s="372"/>
      <c r="C42" s="371"/>
      <c r="D42" s="250"/>
      <c r="E42" s="211">
        <v>-0.03</v>
      </c>
      <c r="F42" s="214">
        <v>1.0149802431931878</v>
      </c>
      <c r="O42" s="247"/>
    </row>
    <row r="43" spans="2:15" x14ac:dyDescent="0.35">
      <c r="B43" s="372"/>
      <c r="C43" s="371"/>
      <c r="D43" s="250"/>
      <c r="E43" s="211">
        <v>0</v>
      </c>
      <c r="F43" s="214">
        <v>1.039145535312592</v>
      </c>
      <c r="O43" s="247"/>
    </row>
    <row r="44" spans="2:15" x14ac:dyDescent="0.35">
      <c r="B44" s="372"/>
      <c r="C44" s="371"/>
      <c r="D44" s="250"/>
      <c r="E44" s="211">
        <v>0.03</v>
      </c>
      <c r="F44" s="214">
        <v>1.0644030430638431</v>
      </c>
      <c r="O44" s="247"/>
    </row>
    <row r="45" spans="2:15" x14ac:dyDescent="0.35">
      <c r="B45" s="372"/>
      <c r="C45" s="371"/>
      <c r="D45" s="250"/>
      <c r="E45" s="211">
        <v>0.1</v>
      </c>
      <c r="F45" s="214">
        <v>1.1274812918500541</v>
      </c>
      <c r="O45" s="247"/>
    </row>
    <row r="46" spans="2:15" x14ac:dyDescent="0.35">
      <c r="B46" s="266"/>
      <c r="C46" s="251"/>
      <c r="O46" s="247"/>
    </row>
    <row r="47" spans="2:15" ht="14.5" customHeight="1" x14ac:dyDescent="0.35">
      <c r="B47" s="360" t="s">
        <v>292</v>
      </c>
      <c r="C47" s="361"/>
      <c r="D47" s="252"/>
      <c r="E47" s="252"/>
      <c r="F47" s="359" t="s">
        <v>244</v>
      </c>
      <c r="G47" s="359"/>
      <c r="H47" s="359"/>
      <c r="I47" s="359"/>
      <c r="J47" s="359"/>
      <c r="K47" s="359"/>
      <c r="L47" s="359"/>
      <c r="O47" s="247"/>
    </row>
    <row r="48" spans="2:15" x14ac:dyDescent="0.35">
      <c r="B48" s="360"/>
      <c r="C48" s="361"/>
      <c r="D48" s="364" t="s">
        <v>242</v>
      </c>
      <c r="E48" s="253">
        <f>C12</f>
        <v>0.98446367900480602</v>
      </c>
      <c r="F48" s="219">
        <v>-0.3</v>
      </c>
      <c r="G48" s="219">
        <v>-0.2</v>
      </c>
      <c r="H48" s="219">
        <v>-0.1</v>
      </c>
      <c r="I48" s="220">
        <v>0</v>
      </c>
      <c r="J48" s="219">
        <v>0.1</v>
      </c>
      <c r="K48" s="219">
        <v>0.2</v>
      </c>
      <c r="L48" s="219">
        <v>0.3</v>
      </c>
      <c r="O48" s="247"/>
    </row>
    <row r="49" spans="2:15" x14ac:dyDescent="0.35">
      <c r="B49" s="360"/>
      <c r="C49" s="361"/>
      <c r="D49" s="380"/>
      <c r="E49" s="217">
        <v>0.5</v>
      </c>
      <c r="F49" s="254">
        <f t="dataTable" ref="F49:L54" dt2D="1" dtr="1" r1="C7" r2="C8" ca="1"/>
        <v>4.2022707443725778E-2</v>
      </c>
      <c r="G49" s="254">
        <v>4.5636003165433717E-2</v>
      </c>
      <c r="H49" s="254">
        <v>4.9249298887141635E-2</v>
      </c>
      <c r="I49" s="254">
        <v>5.286259460884956E-2</v>
      </c>
      <c r="J49" s="254">
        <v>5.6475890330557506E-2</v>
      </c>
      <c r="K49" s="254">
        <v>6.0089186052265424E-2</v>
      </c>
      <c r="L49" s="254">
        <v>6.3702481773973349E-2</v>
      </c>
      <c r="O49" s="247"/>
    </row>
    <row r="50" spans="2:15" x14ac:dyDescent="0.35">
      <c r="B50" s="360"/>
      <c r="C50" s="361"/>
      <c r="D50" s="380"/>
      <c r="E50" s="217">
        <v>0.6</v>
      </c>
      <c r="F50" s="254">
        <v>0.11696429524741854</v>
      </c>
      <c r="G50" s="254">
        <v>0.12932017235630358</v>
      </c>
      <c r="H50" s="254">
        <v>0.14167604946518858</v>
      </c>
      <c r="I50" s="254">
        <v>0.15403192657407358</v>
      </c>
      <c r="J50" s="254">
        <v>0.16638780368295863</v>
      </c>
      <c r="K50" s="254">
        <v>0.17874368079184363</v>
      </c>
      <c r="L50" s="254">
        <v>0.19109955790072866</v>
      </c>
      <c r="O50" s="247"/>
    </row>
    <row r="51" spans="2:15" x14ac:dyDescent="0.35">
      <c r="B51" s="360"/>
      <c r="C51" s="361"/>
      <c r="D51" s="380"/>
      <c r="E51" s="217">
        <v>0.7</v>
      </c>
      <c r="F51" s="254">
        <v>0.2246730919380539</v>
      </c>
      <c r="G51" s="254">
        <v>0.24904096162412964</v>
      </c>
      <c r="H51" s="254">
        <v>0.27340883131020544</v>
      </c>
      <c r="I51" s="254">
        <v>0.29777670099628112</v>
      </c>
      <c r="J51" s="254">
        <v>0.32214457068235697</v>
      </c>
      <c r="K51" s="254">
        <v>0.34651244036843271</v>
      </c>
      <c r="L51" s="254">
        <v>0.3708803100545085</v>
      </c>
      <c r="O51" s="247"/>
    </row>
    <row r="52" spans="2:15" x14ac:dyDescent="0.35">
      <c r="B52" s="360"/>
      <c r="C52" s="361"/>
      <c r="D52" s="380"/>
      <c r="E52" s="217">
        <v>0.8</v>
      </c>
      <c r="F52" s="254">
        <v>0.36514909751563202</v>
      </c>
      <c r="G52" s="254">
        <v>0.40479837096891236</v>
      </c>
      <c r="H52" s="254">
        <v>0.44444764442219248</v>
      </c>
      <c r="I52" s="254">
        <v>0.4840969178754726</v>
      </c>
      <c r="J52" s="254">
        <v>0.52374619132875289</v>
      </c>
      <c r="K52" s="254">
        <v>0.56339546478203306</v>
      </c>
      <c r="L52" s="254">
        <v>0.60304473823531324</v>
      </c>
      <c r="O52" s="247"/>
    </row>
    <row r="53" spans="2:15" x14ac:dyDescent="0.35">
      <c r="B53" s="360"/>
      <c r="C53" s="361"/>
      <c r="D53" s="380"/>
      <c r="E53" s="217">
        <v>0.9</v>
      </c>
      <c r="F53" s="254">
        <v>0.5383923119801528</v>
      </c>
      <c r="G53" s="254">
        <v>0.5965924003906512</v>
      </c>
      <c r="H53" s="254">
        <v>0.65479248880114937</v>
      </c>
      <c r="I53" s="254">
        <v>0.71299257721164766</v>
      </c>
      <c r="J53" s="254">
        <v>0.77119266562214617</v>
      </c>
      <c r="K53" s="254">
        <v>0.82939275403264423</v>
      </c>
      <c r="L53" s="254">
        <v>0.88759284244314252</v>
      </c>
      <c r="O53" s="247"/>
    </row>
    <row r="54" spans="2:15" x14ac:dyDescent="0.35">
      <c r="B54" s="360"/>
      <c r="C54" s="361"/>
      <c r="D54" s="380"/>
      <c r="E54" s="221">
        <v>1</v>
      </c>
      <c r="F54" s="254">
        <v>0.74440273533161616</v>
      </c>
      <c r="G54" s="254">
        <v>0.82442304988934623</v>
      </c>
      <c r="H54" s="254">
        <v>0.9044433644470764</v>
      </c>
      <c r="I54" s="255">
        <v>0.98446367900480602</v>
      </c>
      <c r="J54" s="254">
        <v>1.0644839935625361</v>
      </c>
      <c r="K54" s="254">
        <v>1.1445043081202659</v>
      </c>
      <c r="L54" s="254">
        <v>1.2245246226779962</v>
      </c>
      <c r="O54" s="247"/>
    </row>
    <row r="55" spans="2:15" x14ac:dyDescent="0.35">
      <c r="B55" s="262"/>
      <c r="O55" s="247"/>
    </row>
    <row r="56" spans="2:15" x14ac:dyDescent="0.35">
      <c r="B56" s="370" t="s">
        <v>293</v>
      </c>
      <c r="C56" s="373"/>
      <c r="D56" s="373"/>
      <c r="E56" s="373"/>
      <c r="F56" s="373"/>
      <c r="G56" s="373"/>
      <c r="H56" s="373"/>
      <c r="I56" s="373"/>
      <c r="J56" s="373"/>
      <c r="K56" s="373"/>
      <c r="L56" s="373"/>
      <c r="M56" s="373"/>
      <c r="N56" s="373"/>
      <c r="O56" s="374"/>
    </row>
    <row r="57" spans="2:15" x14ac:dyDescent="0.35">
      <c r="B57" s="375"/>
      <c r="C57" s="373"/>
      <c r="D57" s="373"/>
      <c r="E57" s="373"/>
      <c r="F57" s="373"/>
      <c r="G57" s="373"/>
      <c r="H57" s="373"/>
      <c r="I57" s="373"/>
      <c r="J57" s="373"/>
      <c r="K57" s="373"/>
      <c r="L57" s="373"/>
      <c r="M57" s="373"/>
      <c r="N57" s="373"/>
      <c r="O57" s="374"/>
    </row>
    <row r="58" spans="2:15" x14ac:dyDescent="0.35">
      <c r="B58" s="270"/>
      <c r="C58" s="268"/>
      <c r="D58" s="268"/>
      <c r="E58" s="268"/>
      <c r="F58" s="268"/>
      <c r="G58" s="268"/>
      <c r="H58" s="268"/>
      <c r="I58" s="268"/>
      <c r="J58" s="268"/>
      <c r="K58" s="268"/>
      <c r="L58" s="268"/>
      <c r="M58" s="268"/>
      <c r="N58" s="268"/>
      <c r="O58" s="269"/>
    </row>
    <row r="59" spans="2:15" ht="18" x14ac:dyDescent="0.4">
      <c r="B59" s="231" t="s">
        <v>252</v>
      </c>
      <c r="C59" s="256"/>
      <c r="D59" s="257"/>
      <c r="E59" s="258"/>
      <c r="F59" s="258"/>
      <c r="G59" s="258"/>
      <c r="H59" s="258"/>
      <c r="I59" s="258"/>
      <c r="J59" s="258"/>
      <c r="K59" s="258"/>
      <c r="L59" s="258"/>
      <c r="M59" s="258"/>
      <c r="N59" s="258"/>
      <c r="O59" s="259"/>
    </row>
    <row r="60" spans="2:15" x14ac:dyDescent="0.35">
      <c r="B60" s="261" t="s">
        <v>251</v>
      </c>
      <c r="C60" s="233"/>
      <c r="D60" s="233"/>
      <c r="O60" s="247"/>
    </row>
    <row r="61" spans="2:15" ht="6" customHeight="1" x14ac:dyDescent="0.35">
      <c r="B61" s="267"/>
      <c r="C61" s="233"/>
      <c r="D61" s="233"/>
      <c r="O61" s="247"/>
    </row>
    <row r="62" spans="2:15" ht="14.5" customHeight="1" x14ac:dyDescent="0.35">
      <c r="B62" s="8" t="s">
        <v>201</v>
      </c>
      <c r="C62" s="8" t="s">
        <v>254</v>
      </c>
      <c r="D62" s="8" t="s">
        <v>202</v>
      </c>
      <c r="E62" s="8" t="s">
        <v>69</v>
      </c>
      <c r="G62" s="373" t="s">
        <v>256</v>
      </c>
      <c r="H62" s="373"/>
      <c r="I62" s="373"/>
      <c r="J62" s="373"/>
      <c r="K62" s="373"/>
      <c r="L62" s="373"/>
      <c r="M62" s="373"/>
      <c r="N62" s="373"/>
      <c r="O62" s="374"/>
    </row>
    <row r="63" spans="2:15" ht="28.9" customHeight="1" x14ac:dyDescent="0.35">
      <c r="B63" s="376" t="s">
        <v>253</v>
      </c>
      <c r="C63" s="234" t="s">
        <v>63</v>
      </c>
      <c r="D63" s="232">
        <v>0.12</v>
      </c>
      <c r="E63" s="232">
        <v>0.45</v>
      </c>
      <c r="G63" s="373"/>
      <c r="H63" s="373"/>
      <c r="I63" s="373"/>
      <c r="J63" s="373"/>
      <c r="K63" s="373"/>
      <c r="L63" s="373"/>
      <c r="M63" s="373"/>
      <c r="N63" s="373"/>
      <c r="O63" s="374"/>
    </row>
    <row r="64" spans="2:15" x14ac:dyDescent="0.35">
      <c r="B64" s="377"/>
      <c r="C64" s="234" t="s">
        <v>67</v>
      </c>
      <c r="D64" s="232">
        <v>0.11</v>
      </c>
      <c r="E64" s="356" t="s">
        <v>288</v>
      </c>
      <c r="G64" s="373"/>
      <c r="H64" s="373"/>
      <c r="I64" s="373"/>
      <c r="J64" s="373"/>
      <c r="K64" s="373"/>
      <c r="L64" s="373"/>
      <c r="M64" s="373"/>
      <c r="N64" s="373"/>
      <c r="O64" s="374"/>
    </row>
    <row r="65" spans="2:15" ht="28.9" customHeight="1" x14ac:dyDescent="0.35">
      <c r="B65" s="376" t="s">
        <v>255</v>
      </c>
      <c r="C65" s="234" t="s">
        <v>63</v>
      </c>
      <c r="D65" s="235">
        <v>10.9</v>
      </c>
      <c r="E65" s="235">
        <v>25</v>
      </c>
      <c r="G65" s="373"/>
      <c r="H65" s="373"/>
      <c r="I65" s="373"/>
      <c r="J65" s="373"/>
      <c r="K65" s="373"/>
      <c r="L65" s="373"/>
      <c r="M65" s="373"/>
      <c r="N65" s="373"/>
      <c r="O65" s="374"/>
    </row>
    <row r="66" spans="2:15" x14ac:dyDescent="0.35">
      <c r="B66" s="377"/>
      <c r="C66" s="234" t="s">
        <v>67</v>
      </c>
      <c r="D66" s="235">
        <v>24</v>
      </c>
      <c r="E66" s="235">
        <v>66</v>
      </c>
      <c r="F66" s="260"/>
      <c r="G66" s="378"/>
      <c r="H66" s="378"/>
      <c r="I66" s="378"/>
      <c r="J66" s="378"/>
      <c r="K66" s="378"/>
      <c r="L66" s="378"/>
      <c r="M66" s="378"/>
      <c r="N66" s="378"/>
      <c r="O66" s="379"/>
    </row>
    <row r="76" spans="2:15" x14ac:dyDescent="0.35">
      <c r="B76" s="203"/>
    </row>
  </sheetData>
  <scenarios current="0" show="0">
    <scenario name="SROI assuming different effect opersistency over time" locked="1" count="8" user="Wiegel, Sarah" comment="Created by Wiegel, Sarah on 30.06.2026">
      <inputCells r="E38" val="-0.15" numFmtId="9"/>
      <inputCells r="E39" val="-0.1" numFmtId="9"/>
      <inputCells r="E40" val="-0.073" numFmtId="9"/>
      <inputCells r="E41" val="-0.05" numFmtId="9"/>
      <inputCells r="E42" val="-0.03" numFmtId="9"/>
      <inputCells r="E43" val="0" numFmtId="9"/>
      <inputCells r="E44" val="0.03" numFmtId="9"/>
      <inputCells r="E45" val="0.1" numFmtId="9"/>
    </scenario>
  </scenarios>
  <mergeCells count="14">
    <mergeCell ref="B56:O57"/>
    <mergeCell ref="B63:B64"/>
    <mergeCell ref="B65:B66"/>
    <mergeCell ref="G62:O66"/>
    <mergeCell ref="D48:D54"/>
    <mergeCell ref="F47:L47"/>
    <mergeCell ref="B47:C54"/>
    <mergeCell ref="B13:C13"/>
    <mergeCell ref="B26:C33"/>
    <mergeCell ref="H13:L13"/>
    <mergeCell ref="D28:D33"/>
    <mergeCell ref="F26:K26"/>
    <mergeCell ref="E36:E37"/>
    <mergeCell ref="B36:C45"/>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A498F-4206-4358-BC9C-0CA760AAF2B2}">
  <dimension ref="A1:A35"/>
  <sheetViews>
    <sheetView showGridLines="0" topLeftCell="A27" workbookViewId="0">
      <selection activeCell="Q49" sqref="Q49"/>
    </sheetView>
  </sheetViews>
  <sheetFormatPr baseColWidth="10" defaultColWidth="8.54296875" defaultRowHeight="14.5" x14ac:dyDescent="0.35"/>
  <sheetData>
    <row r="1" ht="44.25" customHeight="1" x14ac:dyDescent="0.35"/>
    <row r="2" ht="165.65" customHeight="1" x14ac:dyDescent="0.35"/>
    <row r="5" ht="72" customHeight="1" x14ac:dyDescent="0.35"/>
    <row r="11" ht="86.5" customHeight="1" x14ac:dyDescent="0.35"/>
    <row r="35" ht="21.75" customHeight="1"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II xmlns="24dc8c7b-7b5d-4d41-8221-f7960f2ae5bd">false</PII>
    <TaxCatchAll xmlns="08b758c0-7f65-4904-9e43-345858c3c71c" xsi:nil="true"/>
    <lcf76f155ced4ddcb4097134ff3c332f xmlns="24dc8c7b-7b5d-4d41-8221-f7960f2ae5bd">
      <Terms xmlns="http://schemas.microsoft.com/office/infopath/2007/PartnerControls"/>
    </lcf76f155ced4ddcb4097134ff3c332f>
    <Thematic_x0020_Focus xmlns="08b758c0-7f65-4904-9e43-345858c3c71c" xsi:nil="true"/>
    <_Flow_SignoffStatus xmlns="24dc8c7b-7b5d-4d41-8221-f7960f2ae5b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F3C797-708D-401B-8B0C-7FDBBBCC3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7BAA00-E681-427E-9896-8CA93721CA48}">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24dc8c7b-7b5d-4d41-8221-f7960f2ae5bd"/>
    <ds:schemaRef ds:uri="08b758c0-7f65-4904-9e43-345858c3c71c"/>
    <ds:schemaRef ds:uri="http://www.w3.org/XML/1998/namespace"/>
    <ds:schemaRef ds:uri="http://purl.org/dc/elements/1.1/"/>
  </ds:schemaRefs>
</ds:datastoreItem>
</file>

<file path=customXml/itemProps3.xml><?xml version="1.0" encoding="utf-8"?>
<ds:datastoreItem xmlns:ds="http://schemas.openxmlformats.org/officeDocument/2006/customXml" ds:itemID="{1E1654B7-EDE6-4B13-9FA9-C633AB2E69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Deckblatt</vt:lpstr>
      <vt:lpstr>Summary</vt:lpstr>
      <vt:lpstr>ToC</vt:lpstr>
      <vt:lpstr>Model input</vt:lpstr>
      <vt:lpstr>SROI</vt:lpstr>
      <vt:lpstr>Sensitivity analysis</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Voigt, Tobias</dc:creator>
  <cp:keywords/>
  <dc:description/>
  <cp:lastModifiedBy>Frank, Theresa</cp:lastModifiedBy>
  <cp:revision/>
  <dcterms:created xsi:type="dcterms:W3CDTF">2022-11-17T09:26:42Z</dcterms:created>
  <dcterms:modified xsi:type="dcterms:W3CDTF">2026-08-13T09:05:01Z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ies>
</file>