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3 Abgeschlossen/D_TNS01/06 Monitoring und Evaluierung/02 Chronologisch/1 SROI/"/>
    </mc:Choice>
  </mc:AlternateContent>
  <xr:revisionPtr revIDLastSave="0" documentId="8_{942194D4-0198-44DA-A6B7-1B6F0E6451AD}" xr6:coauthVersionLast="47" xr6:coauthVersionMax="47" xr10:uidLastSave="{00000000-0000-0000-0000-000000000000}"/>
  <bookViews>
    <workbookView xWindow="28680" yWindow="-120" windowWidth="29040" windowHeight="17520" firstSheet="1" activeTab="4" xr2:uid="{F53A7982-0D36-4323-82AC-A28FA0030F24}"/>
  </bookViews>
  <sheets>
    <sheet name="Deckblatt" sheetId="10" state="hidden" r:id="rId1"/>
    <sheet name="Summary" sheetId="11" r:id="rId2"/>
    <sheet name="ToC" sheetId="7" r:id="rId3"/>
    <sheet name="Model input" sheetId="6" r:id="rId4"/>
    <sheet name="SROI" sheetId="8" r:id="rId5"/>
    <sheet name="Sensitivity analysis" sheetId="9" r:id="rId6"/>
    <sheet name="Info" sheetId="1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6" l="1"/>
  <c r="G6" i="8" s="1"/>
  <c r="F5" i="8" l="1"/>
  <c r="H52" i="6" l="1"/>
  <c r="H51" i="6"/>
  <c r="G52" i="6"/>
  <c r="G51" i="6"/>
  <c r="E52" i="6"/>
  <c r="E51" i="6"/>
  <c r="D52" i="6"/>
  <c r="D51" i="6"/>
  <c r="C51" i="6"/>
  <c r="C52" i="6"/>
  <c r="I45" i="8" l="1"/>
  <c r="J45" i="8" s="1"/>
  <c r="K45" i="8" s="1"/>
  <c r="L45" i="8" s="1"/>
  <c r="M45" i="8" s="1"/>
  <c r="N45" i="8" s="1"/>
  <c r="O45" i="8" s="1"/>
  <c r="I44" i="8"/>
  <c r="J44" i="8" s="1"/>
  <c r="K44" i="8" s="1"/>
  <c r="L44" i="8" s="1"/>
  <c r="M44" i="8" s="1"/>
  <c r="N44" i="8" s="1"/>
  <c r="O44" i="8" s="1"/>
  <c r="I43" i="8"/>
  <c r="J43" i="8" s="1"/>
  <c r="K43" i="8" s="1"/>
  <c r="L43" i="8" s="1"/>
  <c r="M43" i="8" s="1"/>
  <c r="N43" i="8" s="1"/>
  <c r="O43" i="8" s="1"/>
  <c r="J34" i="8"/>
  <c r="K34" i="8" s="1"/>
  <c r="L34" i="8" s="1"/>
  <c r="M34" i="8" s="1"/>
  <c r="N34" i="8" s="1"/>
  <c r="O34" i="8" s="1"/>
  <c r="H34" i="8"/>
  <c r="G34" i="8" s="1"/>
  <c r="F16" i="8" l="1"/>
  <c r="G16" i="8" s="1"/>
  <c r="H16" i="8" s="1"/>
  <c r="I16" i="8" s="1"/>
  <c r="J16" i="8" s="1"/>
  <c r="K16" i="8" s="1"/>
  <c r="L16" i="8" s="1"/>
  <c r="M16" i="8" s="1"/>
  <c r="N16" i="8" s="1"/>
  <c r="F15" i="8"/>
  <c r="G15" i="8" s="1"/>
  <c r="H15" i="8" s="1"/>
  <c r="I15" i="8" s="1"/>
  <c r="J15" i="8" s="1"/>
  <c r="K15" i="8" s="1"/>
  <c r="L15" i="8" s="1"/>
  <c r="M15" i="8" s="1"/>
  <c r="N15" i="8" s="1"/>
  <c r="H14" i="8"/>
  <c r="I14" i="8" s="1"/>
  <c r="J14" i="8" s="1"/>
  <c r="K14" i="8" s="1"/>
  <c r="L14" i="8" s="1"/>
  <c r="M14" i="8" s="1"/>
  <c r="N14" i="8" s="1"/>
  <c r="C38" i="6"/>
  <c r="C44" i="6" l="1"/>
  <c r="K42" i="6"/>
  <c r="K44" i="6" s="1"/>
  <c r="K45" i="6" s="1"/>
  <c r="J42" i="6"/>
  <c r="J44" i="6" s="1"/>
  <c r="J45" i="6" s="1"/>
  <c r="I42" i="6"/>
  <c r="I44" i="6" s="1"/>
  <c r="I45" i="6" s="1"/>
  <c r="H42" i="6"/>
  <c r="H44" i="6" s="1"/>
  <c r="H45" i="6" s="1"/>
  <c r="G42" i="6"/>
  <c r="G44" i="6" s="1"/>
  <c r="G45" i="6" s="1"/>
  <c r="F42" i="6"/>
  <c r="F44" i="6" s="1"/>
  <c r="F45" i="6" s="1"/>
  <c r="E42" i="6"/>
  <c r="E44" i="6" s="1"/>
  <c r="E45" i="6" s="1"/>
  <c r="D42" i="6"/>
  <c r="D44" i="6" s="1"/>
  <c r="D45" i="6" s="1"/>
  <c r="C45" i="6" l="1"/>
  <c r="D16" i="9"/>
  <c r="D17" i="9"/>
  <c r="D18" i="9"/>
  <c r="H82" i="8" l="1"/>
  <c r="G82" i="8"/>
  <c r="F82" i="8"/>
  <c r="E82" i="8"/>
  <c r="D82" i="8"/>
  <c r="G74" i="8"/>
  <c r="F74" i="8"/>
  <c r="E74" i="8"/>
  <c r="D74" i="8"/>
  <c r="C74" i="8"/>
  <c r="C75" i="8" s="1"/>
  <c r="F37" i="8" l="1"/>
  <c r="E8" i="8"/>
  <c r="O65" i="8"/>
  <c r="D75" i="8"/>
  <c r="E75" i="8"/>
  <c r="F75" i="8"/>
  <c r="G75" i="8"/>
  <c r="H75" i="8"/>
  <c r="D83" i="8"/>
  <c r="E83" i="8"/>
  <c r="F83" i="8"/>
  <c r="G83" i="8"/>
  <c r="H83" i="8"/>
  <c r="H5" i="8"/>
  <c r="I5" i="8" s="1"/>
  <c r="J5" i="8" s="1"/>
  <c r="K5" i="8" s="1"/>
  <c r="L5" i="8" s="1"/>
  <c r="M5" i="8" s="1"/>
  <c r="N5" i="8" s="1"/>
  <c r="AD5" i="8"/>
  <c r="T6" i="8"/>
  <c r="U7" i="8" s="1"/>
  <c r="V8" i="8" s="1"/>
  <c r="W9" i="8" s="1"/>
  <c r="X10" i="8" s="1"/>
  <c r="Y11" i="8" s="1"/>
  <c r="Z12" i="8" s="1"/>
  <c r="AA13" i="8" s="1"/>
  <c r="AB14" i="8" s="1"/>
  <c r="T7" i="8"/>
  <c r="U8" i="8" s="1"/>
  <c r="V9" i="8" s="1"/>
  <c r="W10" i="8" s="1"/>
  <c r="X11" i="8" s="1"/>
  <c r="Y12" i="8" s="1"/>
  <c r="Z13" i="8" s="1"/>
  <c r="AA14" i="8" s="1"/>
  <c r="T8" i="8"/>
  <c r="U9" i="8" s="1"/>
  <c r="V10" i="8" s="1"/>
  <c r="W11" i="8" s="1"/>
  <c r="X12" i="8" s="1"/>
  <c r="Y13" i="8" s="1"/>
  <c r="Z14" i="8" s="1"/>
  <c r="T9" i="8"/>
  <c r="U10" i="8" s="1"/>
  <c r="V11" i="8" s="1"/>
  <c r="W12" i="8" s="1"/>
  <c r="X13" i="8" s="1"/>
  <c r="Y14" i="8" s="1"/>
  <c r="T10" i="8"/>
  <c r="U11" i="8" s="1"/>
  <c r="V12" i="8" s="1"/>
  <c r="W13" i="8" s="1"/>
  <c r="X14" i="8" s="1"/>
  <c r="T11" i="8"/>
  <c r="U12" i="8" s="1"/>
  <c r="V13" i="8" s="1"/>
  <c r="W14" i="8" s="1"/>
  <c r="T12" i="8"/>
  <c r="U13" i="8" s="1"/>
  <c r="V14" i="8" s="1"/>
  <c r="E13" i="8"/>
  <c r="T13" i="8"/>
  <c r="U14" i="8" s="1"/>
  <c r="T14" i="8"/>
  <c r="E17" i="8"/>
  <c r="T5" i="8" s="1"/>
  <c r="U35" i="8"/>
  <c r="V36" i="8" s="1"/>
  <c r="W37" i="8" s="1"/>
  <c r="X38" i="8" s="1"/>
  <c r="Y39" i="8" s="1"/>
  <c r="Z40" i="8" s="1"/>
  <c r="AA41" i="8" s="1"/>
  <c r="AB42" i="8" s="1"/>
  <c r="U36" i="8"/>
  <c r="V37" i="8" s="1"/>
  <c r="W38" i="8" s="1"/>
  <c r="X39" i="8" s="1"/>
  <c r="Y40" i="8" s="1"/>
  <c r="Z41" i="8" s="1"/>
  <c r="AA42" i="8" s="1"/>
  <c r="U37" i="8"/>
  <c r="V38" i="8" s="1"/>
  <c r="W39" i="8" s="1"/>
  <c r="X40" i="8" s="1"/>
  <c r="Y41" i="8" s="1"/>
  <c r="Z42" i="8" s="1"/>
  <c r="U38" i="8"/>
  <c r="V39" i="8" s="1"/>
  <c r="W40" i="8" s="1"/>
  <c r="X41" i="8" s="1"/>
  <c r="Y42" i="8" s="1"/>
  <c r="U39" i="8"/>
  <c r="V40" i="8" s="1"/>
  <c r="W41" i="8" s="1"/>
  <c r="X42" i="8" s="1"/>
  <c r="U40" i="8"/>
  <c r="V41" i="8" s="1"/>
  <c r="W42" i="8" s="1"/>
  <c r="U41" i="8"/>
  <c r="V42" i="8" s="1"/>
  <c r="U42" i="8"/>
  <c r="F46" i="8"/>
  <c r="G59" i="6"/>
  <c r="E59" i="6"/>
  <c r="D59" i="6"/>
  <c r="C59" i="6"/>
  <c r="G58" i="6"/>
  <c r="E58" i="6"/>
  <c r="D58" i="6"/>
  <c r="C58" i="6"/>
  <c r="F57" i="6"/>
  <c r="L57" i="6" s="1"/>
  <c r="F36" i="8"/>
  <c r="E7" i="8"/>
  <c r="F50" i="6"/>
  <c r="F6" i="8"/>
  <c r="C33" i="6"/>
  <c r="C32" i="6"/>
  <c r="T15" i="8" l="1"/>
  <c r="E18" i="8" s="1"/>
  <c r="G8" i="8"/>
  <c r="F51" i="8"/>
  <c r="F52" i="8" s="1"/>
  <c r="G35" i="8"/>
  <c r="G37" i="8" s="1"/>
  <c r="I35" i="8"/>
  <c r="I37" i="8" s="1"/>
  <c r="N50" i="6"/>
  <c r="K50" i="6"/>
  <c r="I50" i="6"/>
  <c r="J50" i="6"/>
  <c r="L50" i="6"/>
  <c r="F52" i="6"/>
  <c r="M50" i="6"/>
  <c r="F51" i="6"/>
  <c r="F38" i="8"/>
  <c r="F39" i="8" s="1"/>
  <c r="F17" i="8"/>
  <c r="G46" i="8"/>
  <c r="G51" i="8" s="1"/>
  <c r="M57" i="6"/>
  <c r="N57" i="6"/>
  <c r="F59" i="6"/>
  <c r="L59" i="6" s="1"/>
  <c r="H35" i="8"/>
  <c r="H36" i="8" s="1"/>
  <c r="E9" i="8"/>
  <c r="E10" i="8" s="1"/>
  <c r="U6" i="8"/>
  <c r="V7" i="8" s="1"/>
  <c r="W8" i="8" s="1"/>
  <c r="X9" i="8" s="1"/>
  <c r="Y10" i="8" s="1"/>
  <c r="Z11" i="8" s="1"/>
  <c r="AA12" i="8" s="1"/>
  <c r="AB13" i="8" s="1"/>
  <c r="AC14" i="8" s="1"/>
  <c r="H57" i="6"/>
  <c r="E22" i="8"/>
  <c r="E23" i="8" s="1"/>
  <c r="I57" i="6"/>
  <c r="K57" i="6"/>
  <c r="J57" i="6"/>
  <c r="F58" i="6"/>
  <c r="M58" i="6" s="1"/>
  <c r="U34" i="8"/>
  <c r="E70" i="6"/>
  <c r="E69" i="6"/>
  <c r="E68" i="6"/>
  <c r="E67" i="6"/>
  <c r="C13" i="6"/>
  <c r="H76" i="8" s="1"/>
  <c r="H77" i="8" s="1"/>
  <c r="H78" i="8" s="1"/>
  <c r="F22" i="8" l="1"/>
  <c r="F23" i="8" s="1"/>
  <c r="G36" i="8"/>
  <c r="K51" i="6"/>
  <c r="L51" i="6"/>
  <c r="N51" i="6"/>
  <c r="M51" i="6"/>
  <c r="J51" i="6"/>
  <c r="I51" i="6"/>
  <c r="M52" i="6"/>
  <c r="J52" i="6"/>
  <c r="I52" i="6"/>
  <c r="K52" i="6"/>
  <c r="L52" i="6"/>
  <c r="N52" i="6"/>
  <c r="U5" i="8"/>
  <c r="V6" i="8" s="1"/>
  <c r="W7" i="8" s="1"/>
  <c r="X8" i="8" s="1"/>
  <c r="Y9" i="8" s="1"/>
  <c r="Z10" i="8" s="1"/>
  <c r="AA11" i="8" s="1"/>
  <c r="AB12" i="8" s="1"/>
  <c r="AC13" i="8" s="1"/>
  <c r="AD14" i="8" s="1"/>
  <c r="V34" i="8"/>
  <c r="W35" i="8" s="1"/>
  <c r="X36" i="8" s="1"/>
  <c r="Y37" i="8" s="1"/>
  <c r="Z38" i="8" s="1"/>
  <c r="AA39" i="8" s="1"/>
  <c r="AB40" i="8" s="1"/>
  <c r="AC41" i="8" s="1"/>
  <c r="AD42" i="8" s="1"/>
  <c r="H59" i="6"/>
  <c r="I38" i="8" s="1"/>
  <c r="G38" i="8"/>
  <c r="K59" i="6"/>
  <c r="H17" i="8"/>
  <c r="H22" i="8" s="1"/>
  <c r="H23" i="8" s="1"/>
  <c r="H58" i="6"/>
  <c r="J59" i="6"/>
  <c r="N59" i="6"/>
  <c r="M59" i="6"/>
  <c r="G7" i="8"/>
  <c r="G52" i="8"/>
  <c r="I59" i="6"/>
  <c r="I36" i="8"/>
  <c r="H37" i="8"/>
  <c r="H38" i="8" s="1"/>
  <c r="H39" i="8" s="1"/>
  <c r="H40" i="8" s="1"/>
  <c r="N58" i="6"/>
  <c r="L58" i="6"/>
  <c r="G9" i="8"/>
  <c r="H6" i="8"/>
  <c r="H84" i="8"/>
  <c r="H85" i="8" s="1"/>
  <c r="H86" i="8" s="1"/>
  <c r="E20" i="8"/>
  <c r="E21" i="8" s="1"/>
  <c r="E19" i="8"/>
  <c r="G76" i="8"/>
  <c r="G77" i="8" s="1"/>
  <c r="G78" i="8" s="1"/>
  <c r="D84" i="8"/>
  <c r="D85" i="8" s="1"/>
  <c r="D86" i="8" s="1"/>
  <c r="V35" i="8"/>
  <c r="W36" i="8" s="1"/>
  <c r="X37" i="8" s="1"/>
  <c r="Y38" i="8" s="1"/>
  <c r="Z39" i="8" s="1"/>
  <c r="AA40" i="8" s="1"/>
  <c r="AB41" i="8" s="1"/>
  <c r="AC42" i="8" s="1"/>
  <c r="U43" i="8"/>
  <c r="F47" i="8" s="1"/>
  <c r="G17" i="8"/>
  <c r="G22" i="8" s="1"/>
  <c r="G23" i="8" s="1"/>
  <c r="E76" i="8"/>
  <c r="E77" i="8" s="1"/>
  <c r="E78" i="8" s="1"/>
  <c r="F7" i="8"/>
  <c r="F8" i="8"/>
  <c r="F9" i="8" s="1"/>
  <c r="G84" i="8"/>
  <c r="G85" i="8" s="1"/>
  <c r="G86" i="8" s="1"/>
  <c r="J58" i="6"/>
  <c r="I58" i="6"/>
  <c r="I17" i="8"/>
  <c r="I22" i="8" s="1"/>
  <c r="K58" i="6"/>
  <c r="F40" i="8"/>
  <c r="E84" i="8"/>
  <c r="E85" i="8" s="1"/>
  <c r="E86" i="8" s="1"/>
  <c r="F84" i="8"/>
  <c r="F85" i="8" s="1"/>
  <c r="F86" i="8" s="1"/>
  <c r="D76" i="8"/>
  <c r="D77" i="8" s="1"/>
  <c r="D78" i="8" s="1"/>
  <c r="F76" i="8"/>
  <c r="F77" i="8" s="1"/>
  <c r="F78" i="8" s="1"/>
  <c r="C76" i="8"/>
  <c r="C77" i="8" s="1"/>
  <c r="C78" i="8" s="1"/>
  <c r="J35" i="8"/>
  <c r="H46" i="8"/>
  <c r="J17" i="8"/>
  <c r="J22" i="8" s="1"/>
  <c r="G39" i="8" l="1"/>
  <c r="G40" i="8" s="1"/>
  <c r="G41" i="8" s="1"/>
  <c r="G42" i="8" s="1"/>
  <c r="U15" i="8"/>
  <c r="F18" i="8" s="1"/>
  <c r="F20" i="8" s="1"/>
  <c r="F21" i="8" s="1"/>
  <c r="V5" i="8"/>
  <c r="W6" i="8" s="1"/>
  <c r="X7" i="8" s="1"/>
  <c r="Y8" i="8" s="1"/>
  <c r="Z9" i="8" s="1"/>
  <c r="AA10" i="8" s="1"/>
  <c r="AB11" i="8" s="1"/>
  <c r="AC12" i="8" s="1"/>
  <c r="AD13" i="8" s="1"/>
  <c r="E24" i="8"/>
  <c r="E25" i="8" s="1"/>
  <c r="E26" i="8" s="1"/>
  <c r="W5" i="8"/>
  <c r="X6" i="8" s="1"/>
  <c r="Y7" i="8" s="1"/>
  <c r="Z8" i="8" s="1"/>
  <c r="AA9" i="8" s="1"/>
  <c r="AB10" i="8" s="1"/>
  <c r="AC11" i="8" s="1"/>
  <c r="AD12" i="8" s="1"/>
  <c r="I23" i="8"/>
  <c r="J23" i="8"/>
  <c r="I39" i="8"/>
  <c r="I40" i="8" s="1"/>
  <c r="G10" i="8"/>
  <c r="G11" i="8" s="1"/>
  <c r="G12" i="8" s="1"/>
  <c r="G13" i="8" s="1"/>
  <c r="X5" i="8"/>
  <c r="Y6" i="8" s="1"/>
  <c r="Z7" i="8" s="1"/>
  <c r="AA8" i="8" s="1"/>
  <c r="AB9" i="8" s="1"/>
  <c r="AC10" i="8" s="1"/>
  <c r="AD11" i="8" s="1"/>
  <c r="V43" i="8"/>
  <c r="G47" i="8" s="1"/>
  <c r="F10" i="8"/>
  <c r="F11" i="8" s="1"/>
  <c r="F12" i="8" s="1"/>
  <c r="F13" i="8" s="1"/>
  <c r="C89" i="8"/>
  <c r="C88" i="8"/>
  <c r="H8" i="8"/>
  <c r="H9" i="8" s="1"/>
  <c r="H7" i="8"/>
  <c r="F41" i="8"/>
  <c r="F42" i="8" s="1"/>
  <c r="F48" i="8"/>
  <c r="F49" i="8"/>
  <c r="F50" i="8" s="1"/>
  <c r="I6" i="8"/>
  <c r="K35" i="8"/>
  <c r="W34" i="8"/>
  <c r="H51" i="8"/>
  <c r="H52" i="8" s="1"/>
  <c r="H41" i="8"/>
  <c r="H42" i="8" s="1"/>
  <c r="J36" i="8"/>
  <c r="J37" i="8"/>
  <c r="J38" i="8" s="1"/>
  <c r="I46" i="8"/>
  <c r="K17" i="8"/>
  <c r="K22" i="8" s="1"/>
  <c r="K23" i="8" s="1"/>
  <c r="Y5" i="8"/>
  <c r="V15" i="8" l="1"/>
  <c r="G18" i="8" s="1"/>
  <c r="G20" i="8" s="1"/>
  <c r="G21" i="8" s="1"/>
  <c r="F19" i="8"/>
  <c r="F24" i="8" s="1"/>
  <c r="D75" i="11"/>
  <c r="E28" i="8"/>
  <c r="H10" i="8"/>
  <c r="H11" i="8" s="1"/>
  <c r="H12" i="8" s="1"/>
  <c r="H13" i="8" s="1"/>
  <c r="G48" i="8"/>
  <c r="G49" i="8"/>
  <c r="G50" i="8" s="1"/>
  <c r="C90" i="8"/>
  <c r="C91" i="8" s="1"/>
  <c r="C56" i="11" s="1"/>
  <c r="D72" i="11"/>
  <c r="J6" i="8"/>
  <c r="I8" i="8"/>
  <c r="I9" i="8" s="1"/>
  <c r="I7" i="8"/>
  <c r="F53" i="8"/>
  <c r="E27" i="8"/>
  <c r="E30" i="8" s="1"/>
  <c r="E65" i="8" s="1"/>
  <c r="E67" i="8" s="1"/>
  <c r="E29" i="8"/>
  <c r="X15" i="8"/>
  <c r="I18" i="8" s="1"/>
  <c r="I20" i="8" s="1"/>
  <c r="I21" i="8" s="1"/>
  <c r="Y15" i="8"/>
  <c r="J18" i="8" s="1"/>
  <c r="K37" i="8"/>
  <c r="K38" i="8" s="1"/>
  <c r="K36" i="8"/>
  <c r="L35" i="8"/>
  <c r="I51" i="8"/>
  <c r="I52" i="8" s="1"/>
  <c r="X34" i="8"/>
  <c r="J46" i="8"/>
  <c r="J39" i="8"/>
  <c r="I41" i="8"/>
  <c r="I42" i="8" s="1"/>
  <c r="W15" i="8"/>
  <c r="H18" i="8" s="1"/>
  <c r="W43" i="8"/>
  <c r="H47" i="8" s="1"/>
  <c r="X35" i="8"/>
  <c r="Y36" i="8" s="1"/>
  <c r="Z37" i="8" s="1"/>
  <c r="AA38" i="8" s="1"/>
  <c r="AB39" i="8" s="1"/>
  <c r="AC40" i="8" s="1"/>
  <c r="AD41" i="8" s="1"/>
  <c r="L17" i="8"/>
  <c r="L22" i="8" s="1"/>
  <c r="L23" i="8" s="1"/>
  <c r="Z5" i="8"/>
  <c r="Z6" i="8"/>
  <c r="AA7" i="8" s="1"/>
  <c r="AB8" i="8" s="1"/>
  <c r="AC9" i="8" s="1"/>
  <c r="AD10" i="8" s="1"/>
  <c r="G19" i="8" l="1"/>
  <c r="G24" i="8" s="1"/>
  <c r="G25" i="8" s="1"/>
  <c r="G26" i="8" s="1"/>
  <c r="D78" i="11"/>
  <c r="G53" i="8"/>
  <c r="C92" i="8"/>
  <c r="F54" i="8"/>
  <c r="F57" i="8"/>
  <c r="I10" i="8"/>
  <c r="I11" i="8" s="1"/>
  <c r="I12" i="8" s="1"/>
  <c r="I13" i="8" s="1"/>
  <c r="K6" i="8"/>
  <c r="J7" i="8"/>
  <c r="J8" i="8"/>
  <c r="J9" i="8" s="1"/>
  <c r="Z15" i="8"/>
  <c r="K18" i="8" s="1"/>
  <c r="I19" i="8"/>
  <c r="I24" i="8" s="1"/>
  <c r="K46" i="8"/>
  <c r="F25" i="8"/>
  <c r="F26" i="8" s="1"/>
  <c r="F28" i="8"/>
  <c r="H20" i="8"/>
  <c r="H21" i="8" s="1"/>
  <c r="H19" i="8"/>
  <c r="X43" i="8"/>
  <c r="I47" i="8" s="1"/>
  <c r="Y35" i="8"/>
  <c r="Z36" i="8" s="1"/>
  <c r="AA37" i="8" s="1"/>
  <c r="AB38" i="8" s="1"/>
  <c r="AC39" i="8" s="1"/>
  <c r="AD40" i="8" s="1"/>
  <c r="J19" i="8"/>
  <c r="J20" i="8"/>
  <c r="J21" i="8" s="1"/>
  <c r="M35" i="8"/>
  <c r="L36" i="8"/>
  <c r="L37" i="8"/>
  <c r="L38" i="8" s="1"/>
  <c r="J51" i="8"/>
  <c r="J52" i="8" s="1"/>
  <c r="Y34" i="8"/>
  <c r="H49" i="8"/>
  <c r="H50" i="8" s="1"/>
  <c r="H48" i="8"/>
  <c r="J40" i="8"/>
  <c r="K39" i="8"/>
  <c r="AA6" i="8"/>
  <c r="AB7" i="8" s="1"/>
  <c r="AC8" i="8" s="1"/>
  <c r="AD9" i="8" s="1"/>
  <c r="AA5" i="8"/>
  <c r="N17" i="8"/>
  <c r="N22" i="8" s="1"/>
  <c r="N23" i="8" s="1"/>
  <c r="M17" i="8"/>
  <c r="M22" i="8" s="1"/>
  <c r="M23" i="8" s="1"/>
  <c r="G28" i="8" l="1"/>
  <c r="H53" i="8"/>
  <c r="H57" i="8" s="1"/>
  <c r="G54" i="8"/>
  <c r="G57" i="8"/>
  <c r="J10" i="8"/>
  <c r="J11" i="8" s="1"/>
  <c r="J12" i="8" s="1"/>
  <c r="J13" i="8" s="1"/>
  <c r="L6" i="8"/>
  <c r="K8" i="8"/>
  <c r="K9" i="8" s="1"/>
  <c r="K7" i="8"/>
  <c r="J24" i="8"/>
  <c r="J25" i="8" s="1"/>
  <c r="J26" i="8" s="1"/>
  <c r="H24" i="8"/>
  <c r="H25" i="8" s="1"/>
  <c r="H26" i="8" s="1"/>
  <c r="F55" i="8"/>
  <c r="F56" i="8" s="1"/>
  <c r="F58" i="8"/>
  <c r="AA15" i="8"/>
  <c r="L18" i="8" s="1"/>
  <c r="L39" i="8"/>
  <c r="I25" i="8"/>
  <c r="I26" i="8" s="1"/>
  <c r="I28" i="8"/>
  <c r="G27" i="8"/>
  <c r="G30" i="8" s="1"/>
  <c r="G65" i="8" s="1"/>
  <c r="G29" i="8"/>
  <c r="J41" i="8"/>
  <c r="J42" i="8" s="1"/>
  <c r="K19" i="8"/>
  <c r="K20" i="8"/>
  <c r="K21" i="8" s="1"/>
  <c r="O35" i="8"/>
  <c r="N35" i="8"/>
  <c r="F27" i="8"/>
  <c r="F29" i="8"/>
  <c r="K40" i="8"/>
  <c r="Y43" i="8"/>
  <c r="J47" i="8" s="1"/>
  <c r="Z35" i="8"/>
  <c r="AA36" i="8" s="1"/>
  <c r="AB37" i="8" s="1"/>
  <c r="AC38" i="8" s="1"/>
  <c r="AD39" i="8" s="1"/>
  <c r="M37" i="8"/>
  <c r="M38" i="8" s="1"/>
  <c r="M36" i="8"/>
  <c r="K51" i="8"/>
  <c r="K52" i="8" s="1"/>
  <c r="Z34" i="8"/>
  <c r="I49" i="8"/>
  <c r="I50" i="8" s="1"/>
  <c r="I48" i="8"/>
  <c r="L46" i="8"/>
  <c r="AC5" i="8"/>
  <c r="AB5" i="8"/>
  <c r="AB6" i="8"/>
  <c r="AC7" i="8" s="1"/>
  <c r="AD8" i="8" s="1"/>
  <c r="H54" i="8" l="1"/>
  <c r="H55" i="8" s="1"/>
  <c r="H56" i="8" s="1"/>
  <c r="H59" i="8" s="1"/>
  <c r="H66" i="8" s="1"/>
  <c r="G58" i="8"/>
  <c r="G55" i="8"/>
  <c r="G56" i="8" s="1"/>
  <c r="G59" i="8" s="1"/>
  <c r="G66" i="8" s="1"/>
  <c r="G67" i="8" s="1"/>
  <c r="K10" i="8"/>
  <c r="K11" i="8" s="1"/>
  <c r="K12" i="8" s="1"/>
  <c r="K13" i="8" s="1"/>
  <c r="F59" i="8"/>
  <c r="H28" i="8"/>
  <c r="J28" i="8"/>
  <c r="L8" i="8"/>
  <c r="L9" i="8" s="1"/>
  <c r="L7" i="8"/>
  <c r="M6" i="8"/>
  <c r="N6" i="8"/>
  <c r="I53" i="8"/>
  <c r="I57" i="8" s="1"/>
  <c r="K24" i="8"/>
  <c r="J49" i="8"/>
  <c r="J50" i="8" s="1"/>
  <c r="J48" i="8"/>
  <c r="I27" i="8"/>
  <c r="I30" i="8" s="1"/>
  <c r="I65" i="8" s="1"/>
  <c r="I29" i="8"/>
  <c r="L19" i="8"/>
  <c r="L20" i="8"/>
  <c r="L21" i="8" s="1"/>
  <c r="K41" i="8"/>
  <c r="K42" i="8" s="1"/>
  <c r="Z43" i="8"/>
  <c r="K47" i="8" s="1"/>
  <c r="AA35" i="8"/>
  <c r="AB36" i="8" s="1"/>
  <c r="AC37" i="8" s="1"/>
  <c r="AD38" i="8" s="1"/>
  <c r="H27" i="8"/>
  <c r="H30" i="8" s="1"/>
  <c r="H65" i="8" s="1"/>
  <c r="H29" i="8"/>
  <c r="F30" i="8"/>
  <c r="L40" i="8"/>
  <c r="M46" i="8"/>
  <c r="AB15" i="8"/>
  <c r="M18" i="8" s="1"/>
  <c r="M39" i="8"/>
  <c r="N36" i="8"/>
  <c r="N37" i="8"/>
  <c r="N38" i="8" s="1"/>
  <c r="L51" i="8"/>
  <c r="L52" i="8" s="1"/>
  <c r="AA34" i="8"/>
  <c r="O36" i="8"/>
  <c r="O37" i="8"/>
  <c r="O38" i="8" s="1"/>
  <c r="J27" i="8"/>
  <c r="J30" i="8" s="1"/>
  <c r="J65" i="8" s="1"/>
  <c r="J29" i="8"/>
  <c r="AD6" i="8"/>
  <c r="AC6" i="8"/>
  <c r="AD7" i="8" s="1"/>
  <c r="H58" i="8" l="1"/>
  <c r="L10" i="8"/>
  <c r="L11" i="8" s="1"/>
  <c r="L12" i="8" s="1"/>
  <c r="L13" i="8" s="1"/>
  <c r="M8" i="8"/>
  <c r="M9" i="8" s="1"/>
  <c r="M7" i="8"/>
  <c r="F66" i="8"/>
  <c r="AD15" i="8"/>
  <c r="N39" i="8"/>
  <c r="N40" i="8" s="1"/>
  <c r="N8" i="8"/>
  <c r="N9" i="8" s="1"/>
  <c r="N7" i="8"/>
  <c r="I54" i="8"/>
  <c r="I58" i="8" s="1"/>
  <c r="AC15" i="8"/>
  <c r="N18" i="8" s="1"/>
  <c r="K25" i="8"/>
  <c r="K26" i="8" s="1"/>
  <c r="K28" i="8"/>
  <c r="M20" i="8"/>
  <c r="M21" i="8" s="1"/>
  <c r="M19" i="8"/>
  <c r="M51" i="8"/>
  <c r="M52" i="8" s="1"/>
  <c r="AB34" i="8"/>
  <c r="F65" i="8"/>
  <c r="L24" i="8"/>
  <c r="H67" i="8"/>
  <c r="J53" i="8"/>
  <c r="K48" i="8"/>
  <c r="K49" i="8"/>
  <c r="K50" i="8" s="1"/>
  <c r="M40" i="8"/>
  <c r="O39" i="8"/>
  <c r="O46" i="8"/>
  <c r="N46" i="8"/>
  <c r="AA43" i="8"/>
  <c r="L47" i="8" s="1"/>
  <c r="AB35" i="8"/>
  <c r="AC36" i="8" s="1"/>
  <c r="AD37" i="8" s="1"/>
  <c r="L41" i="8"/>
  <c r="L42" i="8" s="1"/>
  <c r="N10" i="8" l="1"/>
  <c r="N11" i="8" s="1"/>
  <c r="N12" i="8" s="1"/>
  <c r="N13" i="8" s="1"/>
  <c r="M10" i="8"/>
  <c r="M11" i="8" s="1"/>
  <c r="M12" i="8" s="1"/>
  <c r="M13" i="8" s="1"/>
  <c r="I55" i="8"/>
  <c r="I56" i="8" s="1"/>
  <c r="K27" i="8"/>
  <c r="K29" i="8"/>
  <c r="F67" i="8"/>
  <c r="K53" i="8"/>
  <c r="J54" i="8"/>
  <c r="J57" i="8"/>
  <c r="N51" i="8"/>
  <c r="N52" i="8" s="1"/>
  <c r="AC34" i="8"/>
  <c r="AB43" i="8"/>
  <c r="M47" i="8" s="1"/>
  <c r="AC35" i="8"/>
  <c r="AD36" i="8" s="1"/>
  <c r="N20" i="8"/>
  <c r="N21" i="8" s="1"/>
  <c r="N19" i="8"/>
  <c r="O51" i="8"/>
  <c r="O52" i="8" s="1"/>
  <c r="AD34" i="8"/>
  <c r="O40" i="8"/>
  <c r="N41" i="8"/>
  <c r="N42" i="8" s="1"/>
  <c r="M24" i="8"/>
  <c r="L48" i="8"/>
  <c r="L49" i="8"/>
  <c r="L50" i="8" s="1"/>
  <c r="L25" i="8"/>
  <c r="L26" i="8" s="1"/>
  <c r="L28" i="8"/>
  <c r="M41" i="8"/>
  <c r="M42" i="8" s="1"/>
  <c r="I59" i="8" l="1"/>
  <c r="N24" i="8"/>
  <c r="N25" i="8" s="1"/>
  <c r="N26" i="8" s="1"/>
  <c r="K30" i="8"/>
  <c r="M25" i="8"/>
  <c r="M26" i="8" s="1"/>
  <c r="M28" i="8"/>
  <c r="J55" i="8"/>
  <c r="J56" i="8" s="1"/>
  <c r="J59" i="8" s="1"/>
  <c r="J66" i="8" s="1"/>
  <c r="J67" i="8" s="1"/>
  <c r="J58" i="8"/>
  <c r="F54" i="11"/>
  <c r="L27" i="8"/>
  <c r="L30" i="8" s="1"/>
  <c r="L65" i="8" s="1"/>
  <c r="L29" i="8"/>
  <c r="K54" i="8"/>
  <c r="K57" i="8"/>
  <c r="O41" i="8"/>
  <c r="O42" i="8" s="1"/>
  <c r="G54" i="11" s="1"/>
  <c r="M49" i="8"/>
  <c r="M50" i="8" s="1"/>
  <c r="M48" i="8"/>
  <c r="L53" i="8"/>
  <c r="AC43" i="8"/>
  <c r="N47" i="8" s="1"/>
  <c r="AD35" i="8"/>
  <c r="AD43" i="8" s="1"/>
  <c r="N28" i="8" l="1"/>
  <c r="I66" i="8"/>
  <c r="M53" i="8"/>
  <c r="M57" i="8" s="1"/>
  <c r="K65" i="8"/>
  <c r="N49" i="8"/>
  <c r="N50" i="8" s="1"/>
  <c r="N48" i="8"/>
  <c r="L54" i="8"/>
  <c r="L57" i="8"/>
  <c r="K55" i="8"/>
  <c r="K56" i="8" s="1"/>
  <c r="K59" i="8" s="1"/>
  <c r="K66" i="8" s="1"/>
  <c r="K58" i="8"/>
  <c r="N27" i="8"/>
  <c r="N30" i="8" s="1"/>
  <c r="N65" i="8" s="1"/>
  <c r="N29" i="8"/>
  <c r="O47" i="8"/>
  <c r="M27" i="8"/>
  <c r="M30" i="8" s="1"/>
  <c r="M65" i="8" s="1"/>
  <c r="M29" i="8"/>
  <c r="M54" i="8" l="1"/>
  <c r="M55" i="8" s="1"/>
  <c r="M56" i="8" s="1"/>
  <c r="M59" i="8" s="1"/>
  <c r="M66" i="8" s="1"/>
  <c r="M67" i="8" s="1"/>
  <c r="K67" i="8"/>
  <c r="I67" i="8"/>
  <c r="C102" i="8"/>
  <c r="C53" i="11" s="1"/>
  <c r="C96" i="8"/>
  <c r="F55" i="11"/>
  <c r="O49" i="8"/>
  <c r="O50" i="8" s="1"/>
  <c r="O48" i="8"/>
  <c r="L55" i="8"/>
  <c r="L56" i="8" s="1"/>
  <c r="L59" i="8" s="1"/>
  <c r="L66" i="8" s="1"/>
  <c r="L67" i="8" s="1"/>
  <c r="L58" i="8"/>
  <c r="N53" i="8"/>
  <c r="D73" i="11" l="1"/>
  <c r="C110" i="8"/>
  <c r="C23" i="11" s="1"/>
  <c r="M58" i="8"/>
  <c r="C97" i="8"/>
  <c r="D74" i="11" s="1"/>
  <c r="O53" i="8"/>
  <c r="O54" i="8" s="1"/>
  <c r="N54" i="8"/>
  <c r="N57" i="8"/>
  <c r="O57" i="8" l="1"/>
  <c r="C106" i="8" s="1"/>
  <c r="N55" i="8"/>
  <c r="N56" i="8" s="1"/>
  <c r="N59" i="8" s="1"/>
  <c r="N58" i="8"/>
  <c r="O55" i="8"/>
  <c r="O56" i="8" s="1"/>
  <c r="O58" i="8"/>
  <c r="O59" i="8" l="1"/>
  <c r="O66" i="8" s="1"/>
  <c r="O67" i="8" s="1"/>
  <c r="G55" i="11"/>
  <c r="N66" i="8"/>
  <c r="C103" i="8" l="1"/>
  <c r="C54" i="11" s="1"/>
  <c r="N67" i="8"/>
  <c r="C100" i="8" s="1"/>
  <c r="C112" i="8" s="1"/>
  <c r="C98" i="8"/>
  <c r="C111" i="8" s="1"/>
  <c r="C99" i="8" l="1"/>
  <c r="D77" i="11" s="1"/>
  <c r="C24" i="11"/>
  <c r="D76" i="11"/>
  <c r="C101" i="8"/>
  <c r="D80" i="11" s="1"/>
  <c r="D79" i="11"/>
  <c r="C104" i="8"/>
  <c r="C105" i="8" s="1"/>
  <c r="C57" i="11" l="1"/>
  <c r="C55" i="11"/>
  <c r="C20" i="11"/>
  <c r="C12" i="9"/>
  <c r="F37" i="9" l="1"/>
  <c r="E48" i="9"/>
  <c r="E2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tc={3F1013A5-A04C-4CB8-854B-C3206E2A9D53}</author>
    <author>tc={A989DCF2-79FC-485E-80B0-09E9B9929C71}</author>
  </authors>
  <commentList>
    <comment ref="B30" authorId="0" shapeId="0" xr:uid="{3F1013A5-A04C-4CB8-854B-C3206E2A9D53}">
      <text>
        <t>[Threaded comment]
Your version of Excel allows you to read this threaded comment; however, any edits to it will get removed if the file is opened in a newer version of Excel. Learn more: https://go.microsoft.com/fwlink/?linkid=870924
Comment:
    0nly 50% of expected yield effect of stumping materialize</t>
      </text>
    </comment>
    <comment ref="B31" authorId="1" shapeId="0" xr:uid="{A989DCF2-79FC-485E-80B0-09E9B9929C71}">
      <text>
        <t>[Threaded comment]
Your version of Excel allows you to read this threaded comment; however, any edits to it will get removed if the file is opened in a newer version of Excel. Learn more: https://go.microsoft.com/fwlink/?linkid=870924
Comment:
    Average coffee price increases by 30% or yield effect of adopting at least 4 practices increases to 30%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tc={21ADC157-EA68-47DD-9C1E-5723C1E4E3F6}</author>
  </authors>
  <commentList>
    <comment ref="B7" authorId="0" shapeId="0" xr:uid="{21ADC157-EA68-47DD-9C1E-5723C1E4E3F6}">
      <text>
        <t>[Threaded comment]
Your version of Excel allows you to read this threaded comment; however, any edits to it will get removed if the file is opened in a newer version of Excel. Learn more: https://go.microsoft.com/fwlink/?linkid=870924
Comment:
    We choose as year of analysis 2021 to be able to allow for comparisons with latest international poverty lines.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tc={0FDF0074-0F83-4ED3-B44E-AA3145D7A02A}</author>
    <author>tc={4F34A564-927B-4337-B0EE-35AC8B71233C}</author>
    <author>tc={9721723E-1274-437F-864E-ACBFFC2F8E11}</author>
    <author>tc={5DB30FA3-E9F5-4D5C-849F-60DB562AC590}</author>
    <author>tc={498DE4F1-4622-49B4-A1A3-9CF92F4ABDBC}</author>
    <author>tc={509A70AD-A0D5-4351-A2F0-256814C27F0B}</author>
    <author>tc={D6621494-8BA6-4136-82B8-420AE52FDD57}</author>
    <author>tc={FAB66F13-4CFB-4641-8B7F-55A95A4E2639}</author>
    <author>tc={6A6A024B-77A2-4528-A30A-B1EF1B40CDAD}</author>
    <author>tc={7D12B111-BA18-4133-ACBF-AF1C0B09CA93}</author>
    <author>tc={AFDB6278-9EF1-4A34-944F-9110C65D4405}</author>
    <author>tc={A3557CFE-E603-43F8-B68F-6FF868D1A4B5}</author>
    <author>tc={08E17318-BED3-44DC-B20A-092F53F7933F}</author>
  </authors>
  <commentList>
    <comment ref="B1" authorId="0" shapeId="0" xr:uid="{0FDF0074-0F83-4ED3-B44E-AA3145D7A02A}">
      <text>
        <t>[Threaded comment]
Your version of Excel allows you to read this threaded comment; however, any edits to it will get removed if the file is opened in a newer version of Excel. Learn more: https://go.microsoft.com/fwlink/?linkid=870924
Comment:
    For average coffee farm size</t>
      </text>
    </comment>
    <comment ref="C5" authorId="1" shapeId="0" xr:uid="{4F34A564-927B-4337-B0EE-35AC8B71233C}">
      <text>
        <t xml:space="preserve">[Threaded comment]
Your version of Excel allows you to read this threaded comment; however, any edits to it will get removed if the file is opened in a newer version of Excel. Learn more: https://go.microsoft.com/fwlink/?linkid=870924
Comment:
    IFPRI Final Impact Report, p.39  Following UCAT, we assume a linear decay in farmers' practice adoption by 7.3% of the initial improvement per year.
Reply:
    The evaluation only observes adoption rates on one plot which the farmer considers as the plot where he/she applied most practices. We assume this adoption rate applies to the whole coffee farm. </t>
      </text>
    </comment>
    <comment ref="C8" authorId="2" shapeId="0" xr:uid="{9721723E-1274-437F-864E-ACBFFC2F8E11}">
      <text>
        <t>[Threaded comment]
Your version of Excel allows you to read this threaded comment; however, any edits to it will get removed if the file is opened in a newer version of Excel. Learn more: https://go.microsoft.com/fwlink/?linkid=870924
Comment:
    Additional costs for GAP adoption are so marginal that we do not include them here</t>
      </text>
    </comment>
    <comment ref="C14" authorId="3" shapeId="0" xr:uid="{5DB30FA3-E9F5-4D5C-849F-60DB562AC590}">
      <text>
        <t>[Threaded comment]
Your version of Excel allows you to read this threaded comment; however, any edits to it will get removed if the file is opened in a newer version of Excel. Learn more: https://go.microsoft.com/fwlink/?linkid=870924
Comment:
    IFPRI Impact Report, p.36. This relates to the treatment effect for topic-trained households. Following UCAT, we assume a linear decay in farmers' practice adoption by 7.3% of the initial improvement per year.</t>
      </text>
    </comment>
    <comment ref="C15" authorId="4" shapeId="0" xr:uid="{498DE4F1-4622-49B4-A1A3-9CF92F4ABDBC}">
      <text>
        <t>[Threaded comment]
Your version of Excel allows you to read this threaded comment; however, any edits to it will get removed if the file is opened in a newer version of Excel. Learn more: https://go.microsoft.com/fwlink/?linkid=870924
Comment:
    IFRPI data from C2019 stumping survey endline. We do not have info in which year trees were stumped. We assume that stumping occurs in training year 1 (2019) and then decays linearly by 7.3 % (UCAT study). The evidence in the Sidama project shows that most farmers try out stumping during the first year.</t>
      </text>
    </comment>
    <comment ref="C34" authorId="5" shapeId="0" xr:uid="{509A70AD-A0D5-4351-A2F0-256814C27F0B}">
      <text>
        <t>[Threaded comment]
Your version of Excel allows you to read this threaded comment; however, any edits to it will get removed if the file is opened in a newer version of Excel. Learn more: https://go.microsoft.com/fwlink/?linkid=870924
Comment:
    IFPRI Impact Report, p.31  
While the C2019 evaluation was conducted right after completion of the program, the endline for C2020 was conducted one year later. Therefore, we multiply the estimated impact by 1.073 to obtain the estimated impact immediately after the program had finished.  Impact in the following years decays by 7.3%.</t>
      </text>
    </comment>
    <comment ref="C37" authorId="6" shapeId="0" xr:uid="{D6621494-8BA6-4136-82B8-420AE52FDD57}">
      <text>
        <t>[Threaded comment]
Your version of Excel allows you to read this threaded comment; however, any edits to it will get removed if the file is opened in a newer version of Excel. Learn more: https://go.microsoft.com/fwlink/?linkid=870924
Comment:
    Additional costs for GAP adoption are so marginal that we do not include them here</t>
      </text>
    </comment>
    <comment ref="C43" authorId="7" shapeId="0" xr:uid="{FAB66F13-4CFB-4641-8B7F-55A95A4E2639}">
      <text>
        <t>[Threaded comment]
Your version of Excel allows you to read this threaded comment; however, any edits to it will get removed if the file is opened in a newer version of Excel. Learn more: https://go.microsoft.com/fwlink/?linkid=870924
Comment:
    IFPRI Impact Report p. 36. Based on the stumping report, we assume most stumping takes playe in Yr1 and Yr2. Following UCAT, we assume a linear decay in farmers' practice adoption by 7.3% of the initial improvement per year.</t>
      </text>
    </comment>
    <comment ref="C44" authorId="8" shapeId="0" xr:uid="{6A6A024B-77A2-4528-A30A-B1EF1B40CDAD}">
      <text>
        <t>[Threaded comment]
Your version of Excel allows you to read this threaded comment; however, any edits to it will get removed if the file is opened in a newer version of Excel. Learn more: https://go.microsoft.com/fwlink/?linkid=870924
Comment:
    IFPRI Stumping Report C2020 p.36. Following UCAT, we assume a linear decay in farmers' practice adoption by 7.3% of the initial improvement per year.</t>
      </text>
    </comment>
    <comment ref="C45" authorId="9" shapeId="0" xr:uid="{7D12B111-BA18-4133-ACBF-AF1C0B09CA93}">
      <text>
        <t>[Threaded comment]
Your version of Excel allows you to read this threaded comment; however, any edits to it will get removed if the file is opened in a newer version of Excel. Learn more: https://go.microsoft.com/fwlink/?linkid=870924
Comment:
    IFPRI Stumping Report C2020, p.36. Following UCAT, we assume a linear decay in farmers' practice adoption by 7.3% of the initial improvement per year.</t>
      </text>
    </comment>
    <comment ref="B74" authorId="10" shapeId="0" xr:uid="{AFDB6278-9EF1-4A34-944F-9110C65D4405}">
      <text>
        <t>[Threaded comment]
Your version of Excel allows you to read this threaded comment; however, any edits to it will get removed if the file is opened in a newer version of Excel. Learn more: https://go.microsoft.com/fwlink/?linkid=870924
Comment:
    we substract the cost of the exit component since project benefits also do not include number of stumped trees/adoption rates after exit component
Reply:
    We substract indirect cost share from project budget. We assume indirect costs do not reflect marginal costs to replicate or expand project.</t>
      </text>
    </comment>
    <comment ref="B106" authorId="11" shapeId="0" xr:uid="{A3557CFE-E603-43F8-B68F-6FF868D1A4B5}">
      <text>
        <t>[Threaded comment]
Your version of Excel allows you to read this threaded comment; however, any edits to it will get removed if the file is opened in a newer version of Excel. Learn more: https://go.microsoft.com/fwlink/?linkid=870924
Comment:
    Relative to mean hh consumption epxpenditure in SNNP</t>
      </text>
    </comment>
    <comment ref="C106" authorId="12" shapeId="0" xr:uid="{08E17318-BED3-44DC-B20A-092F53F7933F}">
      <text>
        <t xml:space="preserve">[Threaded comment]
Your version of Excel allows you to read this threaded comment; however, any edits to it will get removed if the file is opened in a newer version of Excel. Learn more: https://go.microsoft.com/fwlink/?linkid=870924
Comment:
    Project-wide average hh relative income increase weighted by the number of trained households. C2019 average income change is inflated to 2019 ETB to align with consumption expenditure value.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tc={2930978A-4E0B-4C8A-A5DB-6B70D22B3F22}</author>
  </authors>
  <commentList>
    <comment ref="B8" authorId="0" shapeId="0" xr:uid="{2930978A-4E0B-4C8A-A5DB-6B70D22B3F22}">
      <text>
        <t xml:space="preserve">[Threaded comment]
Your version of Excel allows you to read this threaded comment; however, any edits to it will get removed if the file is opened in a newer version of Excel. Learn more: https://go.microsoft.com/fwlink/?linkid=870924
Comment:
    This assumption indicates how much of the TNS model's projected yield value is reflected in observed field data. 100% of base means field outcomes fully match the original model assumptions; lower percentages indicate a gap between projected and observed values.
We test yield assumptions as evaluation data consistently shows lower yields than the TNS model projections. We apply a corresponding assumption to adjust the SROI calculation accordingly. This allows us to assess how sensitive the SROI estimate is to the accuracy of underlying agronomic assumptions.
</t>
      </text>
    </comment>
  </commentList>
</comments>
</file>

<file path=xl/sharedStrings.xml><?xml version="1.0" encoding="utf-8"?>
<sst xmlns="http://schemas.openxmlformats.org/spreadsheetml/2006/main" count="477" uniqueCount="296">
  <si>
    <t>Summary of intervention</t>
  </si>
  <si>
    <t>Key indicators</t>
  </si>
  <si>
    <t>HWG Impact Model:</t>
  </si>
  <si>
    <t>Sidama Coffee Agronomy Program</t>
  </si>
  <si>
    <t>Overview</t>
  </si>
  <si>
    <t>Project name</t>
  </si>
  <si>
    <t>Implementing partner</t>
  </si>
  <si>
    <t>TechnoServe</t>
  </si>
  <si>
    <t>Evaluation partner</t>
  </si>
  <si>
    <t>IFPRI</t>
  </si>
  <si>
    <t>Project country</t>
  </si>
  <si>
    <t>Ethiopia</t>
  </si>
  <si>
    <t>Project region</t>
  </si>
  <si>
    <t>Sidama</t>
  </si>
  <si>
    <t>Project duration</t>
  </si>
  <si>
    <t>01/2019 - 04/2023</t>
  </si>
  <si>
    <t>Objective</t>
  </si>
  <si>
    <t>To improve coffee productivity and resilience by promoting regenerative agricultural practices</t>
  </si>
  <si>
    <t>Budget (2023 nominal USD)</t>
  </si>
  <si>
    <t>4,576,452 USD</t>
  </si>
  <si>
    <t>Outreach</t>
  </si>
  <si>
    <t>42,402 trained households</t>
  </si>
  <si>
    <t>Date of Analysis / Version</t>
  </si>
  <si>
    <t>Author</t>
  </si>
  <si>
    <t>Sarah Wiegel</t>
  </si>
  <si>
    <t>SROI</t>
  </si>
  <si>
    <t>Total SROI</t>
  </si>
  <si>
    <t>Type</t>
  </si>
  <si>
    <t>Evaluative</t>
  </si>
  <si>
    <t>SROI per cohort</t>
  </si>
  <si>
    <t>C2019:</t>
  </si>
  <si>
    <t>C2020:</t>
  </si>
  <si>
    <t>Level of certainty*</t>
  </si>
  <si>
    <t>Low</t>
  </si>
  <si>
    <t>Evaluation methodology</t>
  </si>
  <si>
    <t>Matched difference-in-difference (comparing trained and untrained households in treatment area)</t>
  </si>
  <si>
    <t>Primary outcome</t>
  </si>
  <si>
    <t>Adoption status of trained agricultural practices</t>
  </si>
  <si>
    <t>Income measurement</t>
  </si>
  <si>
    <t>modeled based on adoption data</t>
  </si>
  <si>
    <t>Sample size per cohort</t>
  </si>
  <si>
    <t>C2019: 893 households in 34 kebeles</t>
  </si>
  <si>
    <t>C2020: 932 households in 49 kebeles</t>
  </si>
  <si>
    <t>Study population</t>
  </si>
  <si>
    <t>Coffee-cultivating households that are members in Development Groups (GDs) and reside in project kebeles</t>
  </si>
  <si>
    <t>Methodological rigor*</t>
  </si>
  <si>
    <t xml:space="preserve">Findings on other outcomes </t>
  </si>
  <si>
    <t>based on before-after comparison</t>
  </si>
  <si>
    <t>Savings</t>
  </si>
  <si>
    <t>In C2019, almost half (44%) of households were not using any savings method at endline, unchanged from baseline. In C2020, more than half (55%) of the surveyed households were not using any savings method at endline, a non-significant change from baseline.</t>
  </si>
  <si>
    <t>Financial shocks</t>
  </si>
  <si>
    <t>In C2019, at endline, more than a third of households (36%) reported that they have been affected by at least one serious financial shock in the past year, compared to just 20% at baseline. COVID-19 may have had an impact on households during 2020/21. In C2020, at endline, less than a fifth (15%) of households reported to have been affected by at least one serious financial shock in the past year, compared to 38% at baseline.</t>
  </si>
  <si>
    <t>Food security</t>
  </si>
  <si>
    <t>In C2019, 45% reported having suffered from a food shortage in the past year, compared to 68% at baseline. In C2020, over half (56%) of the households reported facing food shortages over the last year. This is higher than at baseline, where the figure was 36%.</t>
  </si>
  <si>
    <t>Present Value vs Costs</t>
  </si>
  <si>
    <t>PV per HH C19</t>
  </si>
  <si>
    <t>C19</t>
  </si>
  <si>
    <t>C20</t>
  </si>
  <si>
    <t>PV per HH C20</t>
  </si>
  <si>
    <t>GAPs besides Stumping</t>
  </si>
  <si>
    <t>PV per HH combined</t>
  </si>
  <si>
    <t>Stumping</t>
  </si>
  <si>
    <t>Costs per HH</t>
  </si>
  <si>
    <t>NPV per HH</t>
  </si>
  <si>
    <t>C2019</t>
  </si>
  <si>
    <t>Project Costs discounted (in 2021 EUR)</t>
  </si>
  <si>
    <t>Present Value (in 2021 EUR)</t>
  </si>
  <si>
    <t>Net Present Value (in 2021 EUR)</t>
  </si>
  <si>
    <t>C2020</t>
  </si>
  <si>
    <t>Total</t>
  </si>
  <si>
    <t>Value</t>
  </si>
  <si>
    <t>Source</t>
  </si>
  <si>
    <t>Coffee Farm Size (ha)</t>
  </si>
  <si>
    <t>C2019 Baseline Report</t>
  </si>
  <si>
    <t>Mean Baseline C2020, p.24</t>
  </si>
  <si>
    <t>Planned</t>
  </si>
  <si>
    <t>Eligible</t>
  </si>
  <si>
    <t>Density (trees/ha)</t>
  </si>
  <si>
    <t>Registered</t>
  </si>
  <si>
    <t>IFPRI Final Impact Report</t>
  </si>
  <si>
    <t>Coffee production (kg fresh cherry)</t>
  </si>
  <si>
    <t>TNS: Herz 2019 Cohort A final scorecard, TNS: Herz 2019 Cohort B final scorecard</t>
  </si>
  <si>
    <t>Share of harvest labor hired</t>
  </si>
  <si>
    <t>Rounds of weeding</t>
  </si>
  <si>
    <t>Mean Baseline C2020 data</t>
  </si>
  <si>
    <t>Share of weeding labor hired</t>
  </si>
  <si>
    <t>Share of compost labor hired</t>
  </si>
  <si>
    <t>Share stumping labor hired</t>
  </si>
  <si>
    <t>Year</t>
  </si>
  <si>
    <t>C2019 Stumping</t>
  </si>
  <si>
    <t>Benefit occured through GAP adoption (adopting &gt;=4 practices) without stumping</t>
  </si>
  <si>
    <t>Treatment effect of training on adoption of 4 or more GAPs</t>
  </si>
  <si>
    <t>-</t>
  </si>
  <si>
    <t>Yield benefit (kg fresh cherry)</t>
  </si>
  <si>
    <t>Additional revenue per hh  (in real 2018 ETB)</t>
  </si>
  <si>
    <t>Year 1</t>
  </si>
  <si>
    <t>Addition harvest labor (in person days)</t>
  </si>
  <si>
    <t>Year 2</t>
  </si>
  <si>
    <t>Additional harvest costs  (in real 2018 ETB)</t>
  </si>
  <si>
    <t>Year 3</t>
  </si>
  <si>
    <t>Additional profit per household (in real 2018 ETB)</t>
  </si>
  <si>
    <t>Year 4</t>
  </si>
  <si>
    <t>Additional profit per household, discounted to base year (in real 2018 ETB)</t>
  </si>
  <si>
    <t>Year 5</t>
  </si>
  <si>
    <t>Additional profit per household, discounted to base year (in real 2021 ETB)</t>
  </si>
  <si>
    <t>Year 6</t>
  </si>
  <si>
    <t>Additional profit per household, discounted (in real 2021 EUR)</t>
  </si>
  <si>
    <t>Year 7</t>
  </si>
  <si>
    <t>Benefit occured through stumping</t>
  </si>
  <si>
    <t>Additonal number of stumped trees on BP plot</t>
  </si>
  <si>
    <t>Year 8</t>
  </si>
  <si>
    <t>Self-reported number of coffee trees stumped on other plots by topic-trained households (incl. those that did not stump)</t>
  </si>
  <si>
    <t>Year 9</t>
  </si>
  <si>
    <t>Self-reported number of coffee trees stumped on other plots by untrained households (incl. those that did not stump)</t>
  </si>
  <si>
    <t>Yield difference</t>
  </si>
  <si>
    <t>Number of additional trees stumped per hh</t>
  </si>
  <si>
    <t>Additional revenue per hh (in real 2018 ETB)</t>
  </si>
  <si>
    <t>Additonal harvest labor (in person days)</t>
  </si>
  <si>
    <t>Additional harvest costs (in real 2018 ETB)</t>
  </si>
  <si>
    <t xml:space="preserve">- </t>
  </si>
  <si>
    <t>Additional stumping labor (in person days)</t>
  </si>
  <si>
    <t>Additional stumping cost (in real 2018 ETB)</t>
  </si>
  <si>
    <t>Additional income per household (in real 2018 ETB)</t>
  </si>
  <si>
    <t>Additional income per household, discounted to base year (in real 2021 ETB)</t>
  </si>
  <si>
    <t>Additonal income per household, discounted (in real 2021 EUR)</t>
  </si>
  <si>
    <t>C2020 Stumping</t>
  </si>
  <si>
    <t>Additional revenue per hh (in real 2019 ETB)</t>
  </si>
  <si>
    <t>Additional harvest costs (in real 2019 ETB)</t>
  </si>
  <si>
    <t>Additional profit per household (in real 2019 ETB)</t>
  </si>
  <si>
    <t>Additional profit per household, discounted to base year (in real 2019 ETB)</t>
  </si>
  <si>
    <t>Self-reported number of coffe trees stumped on other plots by trained households (incl. those that did not stump)</t>
  </si>
  <si>
    <t>Self-reported number of coffe trees stumped on other plots by untrained households (incl. those that did not stump)</t>
  </si>
  <si>
    <t>Additional stumping cost (in real 2019 ETB)</t>
  </si>
  <si>
    <t>Additional income per household (in real 2019 ETB)</t>
  </si>
  <si>
    <t>Additional income per household, discounted to base year (in real 2019 ETB)</t>
  </si>
  <si>
    <t>Incremental Cash-flow in 2021 EUR, discounted</t>
  </si>
  <si>
    <t>Project Costs (in nominal USD)</t>
  </si>
  <si>
    <t>Project Costs (in real 2018 USD)</t>
  </si>
  <si>
    <t>Project Costs discounted to base year (in real 2018 USD)</t>
  </si>
  <si>
    <t>Project Costs discounted to base year (in real 2021 USD)</t>
  </si>
  <si>
    <t>Project Cost discounted (in 2021 EUR)</t>
  </si>
  <si>
    <t>Project Costs (in real 2019 USD)</t>
  </si>
  <si>
    <t>Project Costs discounted to base year ( in real 2019 USD)</t>
  </si>
  <si>
    <t>Project Costs C2019 discounted (in 2021 EUR)</t>
  </si>
  <si>
    <t>Project Costs C2020 discounted (in 2021 EUR)</t>
  </si>
  <si>
    <t>Total Project Costs discounted (in 2021 EUR)</t>
  </si>
  <si>
    <t>Costs per household discounted (in 2021 EUR)</t>
  </si>
  <si>
    <t>Costs per trained household discounted (in 2021 EUR)</t>
  </si>
  <si>
    <t xml:space="preserve">C2019 Present Value </t>
  </si>
  <si>
    <t xml:space="preserve">C2019 Net Present Value </t>
  </si>
  <si>
    <t xml:space="preserve">C2020 Present Value </t>
  </si>
  <si>
    <t xml:space="preserve">C2020 Net Present Value </t>
  </si>
  <si>
    <t>Net Present Value per Household</t>
  </si>
  <si>
    <t>Total Project Present Value</t>
  </si>
  <si>
    <t xml:space="preserve">Total Project Net Present Value </t>
  </si>
  <si>
    <t>C2019 SROI</t>
  </si>
  <si>
    <t>SROI=Present value of project benefit/Present value of project costs</t>
  </si>
  <si>
    <t>C2020 SROI</t>
  </si>
  <si>
    <t>Additional net income (profit)  from coffee</t>
  </si>
  <si>
    <t>Base year C2019</t>
  </si>
  <si>
    <t>Base year C2020</t>
  </si>
  <si>
    <t>Year of Analysis</t>
  </si>
  <si>
    <t>Year of Analysis Currency</t>
  </si>
  <si>
    <t>2021 EUR</t>
  </si>
  <si>
    <t>Discount rate*</t>
  </si>
  <si>
    <t>kg coffee cherries harvested per day</t>
  </si>
  <si>
    <t>Person Days per round of weeding per ha</t>
  </si>
  <si>
    <t>Compost kg/tree</t>
  </si>
  <si>
    <t>Person Days for stumping 1 tree</t>
  </si>
  <si>
    <t>TNS and interviews during field visits</t>
  </si>
  <si>
    <t>Weeks/Year</t>
  </si>
  <si>
    <t>Sources</t>
  </si>
  <si>
    <t>Daily rate per laborer (ETB)</t>
  </si>
  <si>
    <t>2018: C2019 BL (p.25), 2019: C2020 BL (p.32), 2020: C2019 Endline (p. 51),  2021: average 2020-2022, 2022: C2020 Endline (p.34). For rates after 2022, we take the 5-year average daily labor rate from 2018-2022.</t>
  </si>
  <si>
    <t>Daily rate per laborer (in real 2018 ETB)</t>
  </si>
  <si>
    <t>Daily rate per laborer (in real 2019 ETB)</t>
  </si>
  <si>
    <t>Yield benefit of GAP adoption besides stumping</t>
  </si>
  <si>
    <t xml:space="preserve">Year 2 </t>
  </si>
  <si>
    <t>Stumped yield (kg fresh cherry/tree)</t>
  </si>
  <si>
    <t>Unstumped yield (kg fresh cherry/tree)</t>
  </si>
  <si>
    <t>Difference</t>
  </si>
  <si>
    <t>Linear decay in farmers' practice adoption</t>
  </si>
  <si>
    <t>(IPE Triple Line, 2017)</t>
  </si>
  <si>
    <t>Coffee Price (kg fresh cherry) (in nominal ETB)</t>
  </si>
  <si>
    <t>2018: C2019 BL (p. 20), 2019: C2020 BL (p.26); 2020: C2019 Endline (p.45); 2021: average 2020-2022; 2022: C2020 Endline (p.31); 2023: coffee price monitoring Eyasu Oct-Nov. For prices after 2023, we take the 5-year average coffee price from 2019-2023.</t>
  </si>
  <si>
    <t>Coffee Price (kg fresh cherry) (in real 2018 ETB)</t>
  </si>
  <si>
    <t>Coffee Price (kg fresh cherry) (in real 2019 ETB)</t>
  </si>
  <si>
    <t>IMF GDP deflators</t>
  </si>
  <si>
    <t>ETB:EUR</t>
  </si>
  <si>
    <t>Standard</t>
  </si>
  <si>
    <t>End of year exchange rate OANDA</t>
  </si>
  <si>
    <t>ETB:USD</t>
  </si>
  <si>
    <t>PPP</t>
  </si>
  <si>
    <t>USD:EUR</t>
  </si>
  <si>
    <t>Mean Baseline C2019, p.19</t>
  </si>
  <si>
    <t>Productivity (kg fresh cherry / ha)</t>
  </si>
  <si>
    <t>Mean Baseline C2019, p.20 (median=200kg)</t>
  </si>
  <si>
    <t>Mean Baseline C2019 data</t>
  </si>
  <si>
    <t>Mean Baseline C2020, p.25 (median=150kg)</t>
  </si>
  <si>
    <t>Baseline C2020, p.32</t>
  </si>
  <si>
    <t>Baseline C2019, p.25</t>
  </si>
  <si>
    <t>Baseline C2019, p.19</t>
  </si>
  <si>
    <t>Own calculation from C2020 baseline data</t>
  </si>
  <si>
    <t>Point Data Table row/column input cells at the blue cells below. Base case reproduces the original model.</t>
  </si>
  <si>
    <t>Driver</t>
  </si>
  <si>
    <t>Base</t>
  </si>
  <si>
    <t>Note</t>
  </si>
  <si>
    <t>Discount rate</t>
  </si>
  <si>
    <t>Master input. SROI discounting reads this cell.</t>
  </si>
  <si>
    <t>Parameter</t>
  </si>
  <si>
    <t>Coffee Trees</t>
  </si>
  <si>
    <t>Person Days for making compost for 1 kg per tree</t>
  </si>
  <si>
    <t>Person Days for applying compost for 1 kg per tree</t>
  </si>
  <si>
    <t>Stage</t>
  </si>
  <si>
    <t>Topic-trained</t>
  </si>
  <si>
    <t>Trained (&gt;=50% topics)</t>
  </si>
  <si>
    <t>C2019 Source</t>
  </si>
  <si>
    <t>C2020 Source</t>
  </si>
  <si>
    <t>Mean Endline C2019, p.45</t>
  </si>
  <si>
    <t>Project proposal</t>
  </si>
  <si>
    <t>1) Incremental cash-flow at household level</t>
  </si>
  <si>
    <t>Parameters shared across cohorts</t>
  </si>
  <si>
    <t>Source: Ethiopia Socioeconomic Panel Survey 2021/22, Survey Report</t>
  </si>
  <si>
    <t xml:space="preserve">2) Incremental cash-flow total project discounted </t>
  </si>
  <si>
    <t>3) Project Costs</t>
  </si>
  <si>
    <t>4) Present Value (in 2021 EUR)</t>
  </si>
  <si>
    <t>C2019 Present Value per household</t>
  </si>
  <si>
    <t xml:space="preserve">C2020 Present Value per household </t>
  </si>
  <si>
    <t>Total Present Value per Household</t>
  </si>
  <si>
    <t>Relative increase in household income</t>
  </si>
  <si>
    <t>Mean annual household expenditure SNNP (in real 2019 ETB)</t>
  </si>
  <si>
    <t>5) Project SROI</t>
  </si>
  <si>
    <t>C2019 (10-yr horizon: 2019–2028)</t>
  </si>
  <si>
    <t>C2020 (10-yr horizon: 2020–2029)</t>
  </si>
  <si>
    <t>Labor rates</t>
  </si>
  <si>
    <t>PPP conversion factor, GDP (LCU per international $)</t>
  </si>
  <si>
    <t xml:space="preserve">PPP conversion factor, GDP (LCU per international $) </t>
  </si>
  <si>
    <t>Project closure overview</t>
  </si>
  <si>
    <t>Master input</t>
  </si>
  <si>
    <t>Non-implementation cost share deducted</t>
  </si>
  <si>
    <t>NICSH</t>
  </si>
  <si>
    <r>
      <rPr>
        <b/>
        <sz val="11"/>
        <color theme="1"/>
        <rFont val="Pero"/>
        <family val="2"/>
      </rPr>
      <t xml:space="preserve">Discount rate: </t>
    </r>
    <r>
      <rPr>
        <sz val="11"/>
        <color theme="1"/>
        <rFont val="Pero"/>
        <family val="2"/>
      </rPr>
      <t xml:space="preserve">Not discounting project benefits and costs would increase the SROI to 1.93. </t>
    </r>
  </si>
  <si>
    <r>
      <rPr>
        <b/>
        <sz val="11"/>
        <color theme="1"/>
        <rFont val="Pero"/>
        <family val="2"/>
      </rPr>
      <t xml:space="preserve">Non-implementation cost share: </t>
    </r>
    <r>
      <rPr>
        <sz val="11"/>
        <color theme="1"/>
        <rFont val="Pero"/>
        <family val="2"/>
      </rPr>
      <t>The project budget includes 17% indirect costs. Including these costs in the cost base for the SROI calculation reduces SROI only slightly to 0.98.</t>
    </r>
  </si>
  <si>
    <t>Treatment effect of training on adoption of 4 or more BPs</t>
  </si>
  <si>
    <t>Multiplier on difference between stumped and unstumped yield. 100% = base.</t>
  </si>
  <si>
    <t>% difference</t>
  </si>
  <si>
    <t>Annual effect decay/increase</t>
  </si>
  <si>
    <t>Yield effect of stumping (% of base)</t>
  </si>
  <si>
    <r>
      <rPr>
        <b/>
        <sz val="11"/>
        <color theme="1"/>
        <rFont val="Pero"/>
        <family val="2"/>
      </rPr>
      <t>Dynamic treatment effects:</t>
    </r>
    <r>
      <rPr>
        <sz val="11"/>
        <color theme="1"/>
        <rFont val="Pero"/>
        <family val="2"/>
      </rPr>
      <t xml:space="preserve"> Varying how the treatment effect on adoption differs over time has a neglible effect on SROI. Low effects of the intervention on BP adoption measured at endline mean that even if effects increase by 10% annually, SROI would only increase by 0.1 to 1.3.</t>
    </r>
  </si>
  <si>
    <t>Impact Measure*</t>
  </si>
  <si>
    <t>Average coffee price change</t>
  </si>
  <si>
    <t>Coffee price change</t>
  </si>
  <si>
    <r>
      <t xml:space="preserve">Coffee price development: </t>
    </r>
    <r>
      <rPr>
        <sz val="11"/>
        <color rgb="FF000000"/>
        <rFont val="Pero"/>
        <family val="2"/>
      </rPr>
      <t>Average coffee prices only have an effect on SROI if at leat 70% of the assumed yield effect of stumping materialize. In the base case of 100% realization of the TNS-based yield impact, the SROI ranges from 0.9 at a 30% price decrease to 1.5 at a 30% price increase.</t>
    </r>
  </si>
  <si>
    <t>Yield effect adopting &gt;=4 BPs</t>
  </si>
  <si>
    <t>Estimated coffee yield effect of adopting &gt;=4 BPs</t>
  </si>
  <si>
    <r>
      <t>Coffee yield effect of stumping adoption and other practices besides stumping:</t>
    </r>
    <r>
      <rPr>
        <sz val="11"/>
        <color rgb="FF000000"/>
        <rFont val="Pero"/>
        <family val="2"/>
      </rPr>
      <t xml:space="preserve"> If only 90% of the assumed yield effect of stumping materialize, the yield effect of adopting other practices has to be a least 15%. Under optimistic assumptions of yield effects of stumping as described in the base case and a 30% yield effect due to other BP adoption, SROI increases to 1.6. </t>
    </r>
  </si>
  <si>
    <t>This sensitivity analysis varies the parameters where we have most uncertainty about. Overall, SROI remains around 1. Under the most optimistic assumptions SROI increases to 1.6. Under more conserative assumptions SROI drops below 1 which means that project costs exceed project benefits.</t>
  </si>
  <si>
    <t>Lower-bound SROI</t>
  </si>
  <si>
    <t>Upper-bound SROI</t>
  </si>
  <si>
    <r>
      <t xml:space="preserve">Sensitivity analysis
</t>
    </r>
    <r>
      <rPr>
        <sz val="10"/>
        <color theme="1"/>
        <rFont val="Pero"/>
        <family val="2"/>
      </rPr>
      <t>(parameters to determine lower- and upper-bound SROI estimates)</t>
    </r>
  </si>
  <si>
    <t>Average coffee price change + Yield benefit of stumping+Yield benefit of other BP adoption</t>
  </si>
  <si>
    <t>Result column does not update automatically, Goal Seek Method applied to determine results</t>
  </si>
  <si>
    <t>What would have needed to happen to achieve an SROI of 2 or better?</t>
  </si>
  <si>
    <t>Increase in adoption rate of other practices than stumping</t>
  </si>
  <si>
    <t>Cohort</t>
  </si>
  <si>
    <t>Number of additional coffee trees stumped per hh during project period</t>
  </si>
  <si>
    <t xml:space="preserve">This analysis shows that stumping adoption and/or intensity are the project outcomes that mainly drive SROI. The adoption of other practices would have to increase to impossibly high levels in C2020 to achieve an SROI of 2. The number of stumped trees would roughly have to double to achieve an SROI of 2. This seems more feasible but even stumping incentives introduced in C2020 didn't bring up stumping adoption or intensity to the required level. </t>
  </si>
  <si>
    <t>Expert model (available upon request</t>
  </si>
  <si>
    <t>TNS yield model (available upon request)</t>
  </si>
  <si>
    <t>Laterite</t>
  </si>
  <si>
    <t>Fair</t>
  </si>
  <si>
    <t>Sensitivity analysis</t>
  </si>
  <si>
    <t>Data source of impact estimates</t>
  </si>
  <si>
    <t>HWG Evaluation</t>
  </si>
  <si>
    <t xml:space="preserve">SROI </t>
  </si>
  <si>
    <t xml:space="preserve">Coffee prices </t>
  </si>
  <si>
    <t>1) Sidama Coffee Agronomy Program Theory of Change</t>
  </si>
  <si>
    <t>2) HereWeGrow Impact Map</t>
  </si>
  <si>
    <t>Cell shading indicates data confidence</t>
  </si>
  <si>
    <t>Substantiated — supported by credible empirical source</t>
  </si>
  <si>
    <t>Uncertain — based on limited data, proxy, or forecast assumption</t>
  </si>
  <si>
    <t>1) Details of the Analysis</t>
  </si>
  <si>
    <t>2) Assumptions Used in the Analysis</t>
  </si>
  <si>
    <t>Yield benefit of  stumping*</t>
  </si>
  <si>
    <t>Year 1 
(Stumping)</t>
  </si>
  <si>
    <t>3. External Parameters Used in the Analysis</t>
  </si>
  <si>
    <t>Household reach</t>
  </si>
  <si>
    <t>Farm &amp; agronomic parameters</t>
  </si>
  <si>
    <t>Inflation*</t>
  </si>
  <si>
    <t>USA (GDP deflator; base year=2017)</t>
  </si>
  <si>
    <t>Ethiopia (GDP deflator; base year = 2015/16</t>
  </si>
  <si>
    <t>Exchange rates</t>
  </si>
  <si>
    <t>Assumption</t>
  </si>
  <si>
    <t>Master input. Deducted from annual budget.</t>
  </si>
  <si>
    <t>*Detailed definitions are given under the tab "Info"</t>
  </si>
  <si>
    <t>*Detailed definitions and background information are given under the tab "Info".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</si>
</sst>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
    <numFmt numFmtId="167" formatCode="#,##0.00\ &quot;€&quot;"/>
    <numFmt numFmtId="168" formatCode="#,##0\ &quot;€&quot;"/>
    <numFmt numFmtId="169" formatCode="#,##0.0"/>
    <numFmt numFmtId="170" formatCode="0.000000"/>
    <numFmt numFmtId="171" formatCode="#,##0.000"/>
  </numFmts>
  <fonts count="54" x14ac:knownFonts="1">
    <font>
      <sz val="11"/>
      <color theme="1"/>
      <name val="Calibri"/>
      <family val="2"/>
      <scheme val="minor"/>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u/>
      <sz val="11"/>
      <color theme="10"/>
      <name val="Calibri"/>
      <family val="2"/>
      <scheme val="minor"/>
    </font>
    <font>
      <sz val="8"/>
      <name val="Calibri"/>
      <family val="2"/>
      <scheme val="minor"/>
    </font>
    <font>
      <sz val="11"/>
      <color indexed="8"/>
      <name val="Calibri"/>
      <family val="2"/>
    </font>
    <font>
      <sz val="11"/>
      <color rgb="FF000000"/>
      <name val="Pero"/>
      <family val="2"/>
    </font>
    <font>
      <sz val="14"/>
      <color theme="1"/>
      <name val="Pero ExtraBold"/>
      <family val="2"/>
    </font>
    <font>
      <b/>
      <sz val="14"/>
      <color indexed="8"/>
      <name val="Pero"/>
      <family val="2"/>
    </font>
    <font>
      <i/>
      <sz val="10"/>
      <color theme="1"/>
      <name val="Pero"/>
      <family val="2"/>
    </font>
    <font>
      <sz val="11"/>
      <color theme="1"/>
      <name val="Pero"/>
      <family val="2"/>
    </font>
    <font>
      <b/>
      <sz val="11"/>
      <color theme="1"/>
      <name val="Pero"/>
      <family val="2"/>
    </font>
    <font>
      <b/>
      <sz val="14"/>
      <color theme="1"/>
      <name val="Pero"/>
      <family val="2"/>
    </font>
    <font>
      <b/>
      <sz val="16"/>
      <color indexed="8"/>
      <name val="Pero"/>
      <family val="2"/>
    </font>
    <font>
      <b/>
      <sz val="11"/>
      <color indexed="8"/>
      <name val="Pero"/>
      <family val="2"/>
    </font>
    <font>
      <u/>
      <sz val="11"/>
      <color theme="10"/>
      <name val="Pero"/>
      <family val="2"/>
    </font>
    <font>
      <b/>
      <sz val="14"/>
      <color theme="0"/>
      <name val="Pero"/>
      <family val="2"/>
    </font>
    <font>
      <b/>
      <sz val="12"/>
      <color theme="1"/>
      <name val="Pero"/>
      <family val="2"/>
    </font>
    <font>
      <sz val="11"/>
      <color rgb="FF000000"/>
      <name val="Pero"/>
      <family val="2"/>
    </font>
    <font>
      <sz val="11"/>
      <color rgb="FF0000FF"/>
      <name val="Pero"/>
      <family val="2"/>
    </font>
    <font>
      <b/>
      <sz val="11"/>
      <color rgb="FF000000"/>
      <name val="Pero"/>
      <family val="2"/>
    </font>
    <font>
      <b/>
      <sz val="11"/>
      <color theme="1"/>
      <name val="Pero"/>
      <family val="2"/>
    </font>
    <font>
      <b/>
      <sz val="12"/>
      <color theme="1"/>
      <name val="Pero"/>
      <family val="2"/>
    </font>
    <font>
      <b/>
      <sz val="11"/>
      <color rgb="FF000000"/>
      <name val="Pero"/>
      <family val="2"/>
    </font>
    <font>
      <b/>
      <sz val="11"/>
      <color rgb="FF1F3864"/>
      <name val="Pero"/>
      <family val="2"/>
    </font>
    <font>
      <i/>
      <sz val="10"/>
      <color rgb="FF595959"/>
      <name val="Pero"/>
      <family val="2"/>
    </font>
    <font>
      <sz val="11"/>
      <name val="Pero"/>
      <family val="2"/>
    </font>
    <font>
      <u/>
      <sz val="11"/>
      <color theme="10"/>
      <name val="Pero"/>
      <family val="2"/>
    </font>
    <font>
      <i/>
      <sz val="10"/>
      <color rgb="FF595959"/>
      <name val="Pero"/>
      <family val="2"/>
    </font>
    <font>
      <sz val="11"/>
      <color rgb="FFFFFFFF"/>
      <name val="Calibri"/>
      <family val="2"/>
      <scheme val="minor"/>
    </font>
    <font>
      <sz val="11"/>
      <color theme="0"/>
      <name val="Pero"/>
      <family val="2"/>
    </font>
    <font>
      <i/>
      <sz val="9"/>
      <color rgb="FF7F7F7F"/>
      <name val="Calibri"/>
      <family val="2"/>
      <scheme val="minor"/>
    </font>
    <font>
      <sz val="10"/>
      <color theme="1"/>
      <name val="Pero"/>
      <family val="2"/>
    </font>
    <font>
      <sz val="10"/>
      <color indexed="8"/>
      <name val="Pero"/>
      <family val="2"/>
    </font>
    <font>
      <sz val="11"/>
      <color rgb="FF3F3F76"/>
      <name val="Pero"/>
      <family val="2"/>
    </font>
    <font>
      <sz val="14"/>
      <color indexed="8"/>
      <name val="Pero ExtraBold"/>
      <family val="2"/>
    </font>
    <font>
      <sz val="11"/>
      <name val="Pero ExtraBold"/>
      <family val="2"/>
    </font>
    <font>
      <sz val="11"/>
      <color rgb="FF000000"/>
      <name val="Pero ExtraBold"/>
      <family val="2"/>
    </font>
    <font>
      <sz val="11"/>
      <color theme="1"/>
      <name val="Pero ExtraBold"/>
      <family val="2"/>
    </font>
    <font>
      <b/>
      <sz val="16"/>
      <color theme="1"/>
      <name val="Pero ExtraBold"/>
      <family val="2"/>
    </font>
    <font>
      <sz val="12"/>
      <color theme="1"/>
      <name val="Pero ExtraBold"/>
      <family val="2"/>
    </font>
    <font>
      <sz val="12"/>
      <color rgb="FF000000"/>
      <name val="Pero ExtraBold"/>
      <family val="2"/>
    </font>
    <font>
      <i/>
      <sz val="10"/>
      <color rgb="FF000000"/>
      <name val="Pero"/>
      <family val="2"/>
    </font>
  </fonts>
  <fills count="1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8AFBE"/>
        <bgColor indexed="64"/>
      </patternFill>
    </fill>
    <fill>
      <patternFill patternType="solid">
        <fgColor theme="0"/>
        <bgColor indexed="64"/>
      </patternFill>
    </fill>
    <fill>
      <patternFill patternType="solid">
        <fgColor rgb="FFDCA591"/>
        <bgColor indexed="64"/>
      </patternFill>
    </fill>
    <fill>
      <patternFill patternType="solid">
        <fgColor rgb="FFB4463C"/>
        <bgColor indexed="64"/>
      </patternFill>
    </fill>
    <fill>
      <patternFill patternType="solid">
        <fgColor rgb="FFFFF2CC"/>
        <bgColor indexed="64"/>
      </patternFill>
    </fill>
    <fill>
      <patternFill patternType="solid">
        <fgColor rgb="FFDBA490"/>
        <bgColor rgb="FFDBA490"/>
      </patternFill>
    </fill>
    <fill>
      <patternFill patternType="solid">
        <fgColor rgb="FFE7E6E6"/>
        <bgColor indexed="64"/>
      </patternFill>
    </fill>
    <fill>
      <patternFill patternType="solid">
        <fgColor rgb="FFD9D9D9"/>
        <bgColor indexed="64"/>
      </patternFill>
    </fill>
    <fill>
      <patternFill patternType="solid">
        <fgColor rgb="FFCDD2B4"/>
        <bgColor indexed="64"/>
      </patternFill>
    </fill>
    <fill>
      <patternFill patternType="solid">
        <fgColor rgb="FFDBA490"/>
        <bgColor indexed="64"/>
      </patternFill>
    </fill>
    <fill>
      <patternFill patternType="solid">
        <fgColor rgb="FFFFCC99"/>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auto="1"/>
      </left>
      <right/>
      <top style="medium">
        <color auto="1"/>
      </top>
      <bottom style="thin">
        <color auto="1"/>
      </bottom>
      <diagonal/>
    </border>
    <border>
      <left/>
      <right style="medium">
        <color rgb="FFBFBFBF"/>
      </right>
      <top/>
      <bottom style="thin">
        <color rgb="FFBFBFB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1"/>
      </left>
      <right style="thin">
        <color theme="1"/>
      </right>
      <top style="thin">
        <color theme="1"/>
      </top>
      <bottom style="thin">
        <color theme="1"/>
      </bottom>
      <diagonal/>
    </border>
    <border>
      <left/>
      <right/>
      <top style="medium">
        <color indexed="64"/>
      </top>
      <bottom/>
      <diagonal/>
    </border>
  </borders>
  <cellStyleXfs count="4">
    <xf numFmtId="0" fontId="0" fillId="0" borderId="0"/>
    <xf numFmtId="0" fontId="14" fillId="0" borderId="0" applyNumberFormat="0" applyFill="0" applyBorder="0" applyAlignment="0" applyProtection="0"/>
    <xf numFmtId="0" fontId="16" fillId="0" borderId="0"/>
    <xf numFmtId="0" fontId="45" fillId="16" borderId="41" applyNumberFormat="0" applyAlignment="0" applyProtection="0"/>
  </cellStyleXfs>
  <cellXfs count="399">
    <xf numFmtId="0" fontId="0" fillId="0" borderId="0" xfId="0"/>
    <xf numFmtId="0" fontId="0" fillId="0" borderId="0" xfId="0" applyAlignment="1">
      <alignment wrapText="1"/>
    </xf>
    <xf numFmtId="0" fontId="0" fillId="0" borderId="0" xfId="0" applyAlignment="1">
      <alignment horizontal="left" vertical="center"/>
    </xf>
    <xf numFmtId="0" fontId="19" fillId="2" borderId="25" xfId="2" applyFont="1" applyFill="1" applyBorder="1" applyAlignment="1">
      <alignment horizontal="left"/>
    </xf>
    <xf numFmtId="0" fontId="21" fillId="0" borderId="0" xfId="0" applyFont="1"/>
    <xf numFmtId="0" fontId="21" fillId="0" borderId="31" xfId="0" applyFont="1" applyBorder="1"/>
    <xf numFmtId="0" fontId="21" fillId="0" borderId="27" xfId="0" applyFont="1" applyBorder="1"/>
    <xf numFmtId="0" fontId="22" fillId="6" borderId="1" xfId="0" applyFont="1" applyFill="1" applyBorder="1" applyAlignment="1">
      <alignment horizontal="left"/>
    </xf>
    <xf numFmtId="0" fontId="22" fillId="6" borderId="1" xfId="0" applyFont="1" applyFill="1" applyBorder="1" applyAlignment="1">
      <alignment horizontal="center"/>
    </xf>
    <xf numFmtId="0" fontId="21" fillId="0" borderId="1" xfId="0" applyFont="1" applyBorder="1"/>
    <xf numFmtId="9" fontId="21" fillId="0" borderId="1" xfId="0" applyNumberFormat="1" applyFont="1" applyBorder="1" applyAlignment="1">
      <alignment horizontal="center"/>
    </xf>
    <xf numFmtId="3" fontId="21" fillId="0" borderId="0" xfId="0" applyNumberFormat="1" applyFont="1"/>
    <xf numFmtId="0" fontId="21" fillId="7" borderId="15" xfId="0" applyFont="1" applyFill="1" applyBorder="1" applyAlignment="1">
      <alignment horizontal="left" vertical="center"/>
    </xf>
    <xf numFmtId="0" fontId="21" fillId="7" borderId="16" xfId="0" applyFont="1" applyFill="1" applyBorder="1" applyAlignment="1">
      <alignment horizontal="left" vertical="center"/>
    </xf>
    <xf numFmtId="0" fontId="21" fillId="7" borderId="16" xfId="0" applyFont="1" applyFill="1" applyBorder="1" applyAlignment="1">
      <alignment wrapText="1"/>
    </xf>
    <xf numFmtId="0" fontId="21" fillId="7" borderId="16" xfId="0" applyFont="1" applyFill="1" applyBorder="1"/>
    <xf numFmtId="0" fontId="21" fillId="7" borderId="17" xfId="0" applyFont="1" applyFill="1" applyBorder="1"/>
    <xf numFmtId="0" fontId="19" fillId="7" borderId="18" xfId="2" applyFont="1" applyFill="1" applyBorder="1" applyAlignment="1">
      <alignment horizontal="left"/>
    </xf>
    <xf numFmtId="0" fontId="24" fillId="3" borderId="0" xfId="2" applyFont="1" applyFill="1" applyAlignment="1">
      <alignment horizontal="left" vertical="center"/>
    </xf>
    <xf numFmtId="0" fontId="24" fillId="3" borderId="0" xfId="2" applyFont="1" applyFill="1" applyAlignment="1">
      <alignment horizontal="center" vertical="center"/>
    </xf>
    <xf numFmtId="0" fontId="21" fillId="3" borderId="0" xfId="0" applyFont="1" applyFill="1"/>
    <xf numFmtId="0" fontId="21" fillId="7" borderId="0" xfId="0" applyFont="1" applyFill="1"/>
    <xf numFmtId="0" fontId="21" fillId="7" borderId="19" xfId="0" applyFont="1" applyFill="1" applyBorder="1"/>
    <xf numFmtId="0" fontId="21" fillId="7" borderId="18" xfId="0" applyFont="1" applyFill="1" applyBorder="1" applyAlignment="1">
      <alignment horizontal="left" vertical="center"/>
    </xf>
    <xf numFmtId="0" fontId="21" fillId="7" borderId="0" xfId="0" applyFont="1" applyFill="1" applyAlignment="1">
      <alignment horizontal="left" vertical="center"/>
    </xf>
    <xf numFmtId="0" fontId="21" fillId="7" borderId="0" xfId="0" applyFont="1" applyFill="1" applyAlignment="1">
      <alignment wrapText="1"/>
    </xf>
    <xf numFmtId="0" fontId="19" fillId="2" borderId="18" xfId="2" applyFont="1" applyFill="1" applyBorder="1" applyAlignment="1">
      <alignment horizontal="left" vertical="center"/>
    </xf>
    <xf numFmtId="0" fontId="19" fillId="2" borderId="0" xfId="2" applyFont="1" applyFill="1" applyAlignment="1">
      <alignment horizontal="left" vertical="center"/>
    </xf>
    <xf numFmtId="0" fontId="19" fillId="2" borderId="0" xfId="2" applyFont="1" applyFill="1" applyAlignment="1">
      <alignment horizontal="left" wrapText="1"/>
    </xf>
    <xf numFmtId="0" fontId="19" fillId="2" borderId="0" xfId="2" applyFont="1" applyFill="1" applyAlignment="1">
      <alignment horizontal="left"/>
    </xf>
    <xf numFmtId="0" fontId="21" fillId="2" borderId="0" xfId="0" applyFont="1" applyFill="1"/>
    <xf numFmtId="0" fontId="21" fillId="2" borderId="19" xfId="0" applyFont="1" applyFill="1" applyBorder="1"/>
    <xf numFmtId="0" fontId="21" fillId="7" borderId="18" xfId="0" applyFont="1" applyFill="1" applyBorder="1"/>
    <xf numFmtId="0" fontId="19" fillId="7" borderId="0" xfId="2" applyFont="1" applyFill="1" applyAlignment="1">
      <alignment horizontal="left" vertical="center"/>
    </xf>
    <xf numFmtId="0" fontId="19" fillId="7" borderId="0" xfId="2" applyFont="1" applyFill="1" applyAlignment="1">
      <alignment horizontal="left" wrapText="1"/>
    </xf>
    <xf numFmtId="0" fontId="19" fillId="7" borderId="0" xfId="2" applyFont="1" applyFill="1" applyAlignment="1">
      <alignment horizontal="left"/>
    </xf>
    <xf numFmtId="0" fontId="25" fillId="7" borderId="14" xfId="2" applyFont="1" applyFill="1" applyBorder="1" applyAlignment="1">
      <alignment horizontal="left" vertical="center"/>
    </xf>
    <xf numFmtId="0" fontId="21" fillId="7" borderId="14" xfId="0" applyFont="1" applyFill="1" applyBorder="1" applyAlignment="1">
      <alignment wrapText="1"/>
    </xf>
    <xf numFmtId="0" fontId="19" fillId="7" borderId="14" xfId="2" applyFont="1" applyFill="1" applyBorder="1" applyAlignment="1">
      <alignment horizontal="left"/>
    </xf>
    <xf numFmtId="0" fontId="22" fillId="7" borderId="14" xfId="0" applyFont="1" applyFill="1" applyBorder="1" applyAlignment="1">
      <alignment horizontal="left" vertical="center"/>
    </xf>
    <xf numFmtId="0" fontId="26" fillId="7" borderId="14" xfId="1" applyFont="1" applyFill="1" applyBorder="1" applyAlignment="1">
      <alignment wrapText="1"/>
    </xf>
    <xf numFmtId="0" fontId="21" fillId="7" borderId="14" xfId="0" applyFont="1" applyFill="1" applyBorder="1"/>
    <xf numFmtId="0" fontId="26" fillId="7" borderId="14" xfId="1" applyFont="1" applyFill="1" applyBorder="1"/>
    <xf numFmtId="0" fontId="21" fillId="7" borderId="14" xfId="0" quotePrefix="1" applyFont="1" applyFill="1" applyBorder="1" applyAlignment="1">
      <alignment wrapText="1"/>
    </xf>
    <xf numFmtId="17" fontId="21" fillId="7" borderId="14" xfId="0" applyNumberFormat="1" applyFont="1" applyFill="1" applyBorder="1" applyAlignment="1">
      <alignment horizontal="left" wrapText="1"/>
    </xf>
    <xf numFmtId="0" fontId="22" fillId="7" borderId="0" xfId="0" applyFont="1" applyFill="1" applyAlignment="1">
      <alignment horizontal="left" vertical="center"/>
    </xf>
    <xf numFmtId="0" fontId="19" fillId="2" borderId="19" xfId="2" applyFont="1" applyFill="1" applyBorder="1" applyAlignment="1">
      <alignment horizontal="left"/>
    </xf>
    <xf numFmtId="0" fontId="19" fillId="7" borderId="18" xfId="2" applyFont="1" applyFill="1" applyBorder="1" applyAlignment="1">
      <alignment horizontal="left" vertical="center"/>
    </xf>
    <xf numFmtId="0" fontId="23" fillId="7" borderId="18" xfId="0" applyFont="1" applyFill="1" applyBorder="1" applyAlignment="1">
      <alignment horizontal="left" vertical="center"/>
    </xf>
    <xf numFmtId="0" fontId="23" fillId="3" borderId="14" xfId="0" applyFont="1" applyFill="1" applyBorder="1" applyAlignment="1">
      <alignment horizontal="left" vertical="center"/>
    </xf>
    <xf numFmtId="0" fontId="22" fillId="7" borderId="18" xfId="0" applyFont="1" applyFill="1" applyBorder="1" applyAlignment="1">
      <alignment horizontal="left" vertical="center"/>
    </xf>
    <xf numFmtId="0" fontId="22" fillId="7" borderId="0" xfId="0" applyFont="1" applyFill="1" applyAlignment="1">
      <alignment horizontal="left"/>
    </xf>
    <xf numFmtId="0" fontId="21" fillId="7" borderId="14" xfId="0" applyFont="1" applyFill="1" applyBorder="1" applyAlignment="1">
      <alignment horizontal="left" vertical="center"/>
    </xf>
    <xf numFmtId="2" fontId="21" fillId="7" borderId="0" xfId="0" applyNumberFormat="1" applyFont="1" applyFill="1" applyAlignment="1">
      <alignment horizontal="left"/>
    </xf>
    <xf numFmtId="0" fontId="21" fillId="7" borderId="0" xfId="0" applyFont="1" applyFill="1" applyAlignment="1">
      <alignment horizontal="left"/>
    </xf>
    <xf numFmtId="168" fontId="21" fillId="7" borderId="0" xfId="0" applyNumberFormat="1" applyFont="1" applyFill="1" applyAlignment="1">
      <alignment horizontal="left"/>
    </xf>
    <xf numFmtId="0" fontId="21" fillId="7" borderId="18" xfId="0" applyFont="1" applyFill="1" applyBorder="1" applyAlignment="1">
      <alignment horizontal="left"/>
    </xf>
    <xf numFmtId="0" fontId="21" fillId="0" borderId="0" xfId="0" applyFont="1" applyAlignment="1">
      <alignment horizontal="left" vertical="center"/>
    </xf>
    <xf numFmtId="167" fontId="21" fillId="7" borderId="0" xfId="0" applyNumberFormat="1" applyFont="1" applyFill="1" applyAlignment="1">
      <alignment horizontal="left"/>
    </xf>
    <xf numFmtId="0" fontId="23" fillId="7" borderId="1" xfId="0" applyFont="1" applyFill="1" applyBorder="1" applyAlignment="1">
      <alignment horizontal="left"/>
    </xf>
    <xf numFmtId="0" fontId="21" fillId="7" borderId="21" xfId="0" applyFont="1" applyFill="1" applyBorder="1" applyAlignment="1">
      <alignment horizontal="left" vertical="center"/>
    </xf>
    <xf numFmtId="0" fontId="21" fillId="7" borderId="22" xfId="0" applyFont="1" applyFill="1" applyBorder="1" applyAlignment="1">
      <alignment wrapText="1"/>
    </xf>
    <xf numFmtId="0" fontId="21" fillId="7" borderId="22" xfId="0" applyFont="1" applyFill="1" applyBorder="1"/>
    <xf numFmtId="0" fontId="21" fillId="7" borderId="23" xfId="0" applyFont="1" applyFill="1" applyBorder="1"/>
    <xf numFmtId="165" fontId="21" fillId="0" borderId="0" xfId="0" applyNumberFormat="1" applyFont="1"/>
    <xf numFmtId="0" fontId="21" fillId="6" borderId="9" xfId="0" applyFont="1" applyFill="1" applyBorder="1" applyAlignment="1">
      <alignment horizontal="center"/>
    </xf>
    <xf numFmtId="0" fontId="21" fillId="0" borderId="2" xfId="0" quotePrefix="1" applyFont="1" applyBorder="1" applyAlignment="1">
      <alignment horizontal="center"/>
    </xf>
    <xf numFmtId="0" fontId="21" fillId="0" borderId="1" xfId="0" quotePrefix="1" applyFont="1" applyBorder="1" applyAlignment="1">
      <alignment horizontal="center"/>
    </xf>
    <xf numFmtId="165" fontId="21" fillId="0" borderId="1" xfId="0" applyNumberFormat="1" applyFont="1" applyBorder="1" applyAlignment="1">
      <alignment horizontal="center"/>
    </xf>
    <xf numFmtId="169" fontId="21" fillId="0" borderId="1" xfId="0" applyNumberFormat="1" applyFont="1" applyBorder="1" applyAlignment="1">
      <alignment horizontal="center"/>
    </xf>
    <xf numFmtId="0" fontId="21" fillId="4" borderId="1" xfId="0" quotePrefix="1" applyFont="1" applyFill="1" applyBorder="1" applyAlignment="1">
      <alignment horizontal="center"/>
    </xf>
    <xf numFmtId="169" fontId="21" fillId="5" borderId="9" xfId="0" applyNumberFormat="1" applyFont="1" applyFill="1" applyBorder="1" applyAlignment="1">
      <alignment horizontal="center" vertical="center"/>
    </xf>
    <xf numFmtId="9" fontId="21" fillId="0" borderId="0" xfId="0" applyNumberFormat="1" applyFont="1"/>
    <xf numFmtId="0" fontId="21" fillId="0" borderId="2" xfId="0" quotePrefix="1" applyFont="1" applyBorder="1" applyAlignment="1">
      <alignment horizontal="center" vertical="center"/>
    </xf>
    <xf numFmtId="0" fontId="21" fillId="0" borderId="1" xfId="0" quotePrefix="1" applyFont="1" applyBorder="1" applyAlignment="1">
      <alignment horizontal="center" vertical="center"/>
    </xf>
    <xf numFmtId="165" fontId="21" fillId="0" borderId="1" xfId="0" quotePrefix="1" applyNumberFormat="1" applyFont="1" applyBorder="1" applyAlignment="1">
      <alignment horizontal="center" vertical="center"/>
    </xf>
    <xf numFmtId="0" fontId="21" fillId="4" borderId="2" xfId="0" quotePrefix="1" applyFont="1" applyFill="1" applyBorder="1" applyAlignment="1">
      <alignment horizontal="center"/>
    </xf>
    <xf numFmtId="0" fontId="21" fillId="0" borderId="0" xfId="0" quotePrefix="1" applyFont="1" applyAlignment="1">
      <alignment horizontal="center" vertical="center"/>
    </xf>
    <xf numFmtId="3" fontId="21" fillId="0" borderId="1" xfId="0" applyNumberFormat="1" applyFont="1" applyBorder="1" applyAlignment="1">
      <alignment horizontal="center" vertical="center"/>
    </xf>
    <xf numFmtId="3" fontId="21" fillId="0" borderId="1" xfId="0" quotePrefix="1" applyNumberFormat="1" applyFont="1" applyBorder="1" applyAlignment="1">
      <alignment horizontal="center" vertical="center"/>
    </xf>
    <xf numFmtId="0" fontId="21" fillId="0" borderId="1" xfId="0" applyFont="1" applyBorder="1" applyAlignment="1">
      <alignment horizontal="left"/>
    </xf>
    <xf numFmtId="168" fontId="21" fillId="0" borderId="0" xfId="0" applyNumberFormat="1" applyFont="1"/>
    <xf numFmtId="0" fontId="19" fillId="0" borderId="0" xfId="2" applyFont="1" applyAlignment="1">
      <alignment horizontal="left"/>
    </xf>
    <xf numFmtId="165" fontId="17" fillId="8" borderId="2" xfId="0" applyNumberFormat="1" applyFont="1" applyFill="1" applyBorder="1" applyAlignment="1">
      <alignment horizontal="center"/>
    </xf>
    <xf numFmtId="165" fontId="17" fillId="8" borderId="1" xfId="0" applyNumberFormat="1" applyFont="1" applyFill="1" applyBorder="1" applyAlignment="1">
      <alignment horizontal="center"/>
    </xf>
    <xf numFmtId="0" fontId="21" fillId="0" borderId="2" xfId="0" applyFont="1" applyBorder="1"/>
    <xf numFmtId="9" fontId="17" fillId="11" borderId="2" xfId="0" applyNumberFormat="1" applyFont="1" applyFill="1" applyBorder="1" applyAlignment="1">
      <alignment horizontal="center"/>
    </xf>
    <xf numFmtId="0" fontId="21" fillId="12" borderId="1" xfId="0" applyFont="1" applyFill="1" applyBorder="1"/>
    <xf numFmtId="0" fontId="21" fillId="12" borderId="1" xfId="0" quotePrefix="1" applyFont="1" applyFill="1" applyBorder="1" applyAlignment="1">
      <alignment horizontal="center"/>
    </xf>
    <xf numFmtId="169" fontId="21" fillId="12" borderId="1" xfId="0" applyNumberFormat="1" applyFont="1" applyFill="1" applyBorder="1" applyAlignment="1">
      <alignment horizontal="center"/>
    </xf>
    <xf numFmtId="169" fontId="21" fillId="12" borderId="9" xfId="0" applyNumberFormat="1" applyFont="1" applyFill="1" applyBorder="1" applyAlignment="1">
      <alignment horizontal="center" vertical="center"/>
    </xf>
    <xf numFmtId="0" fontId="21" fillId="12" borderId="9" xfId="0" quotePrefix="1" applyFont="1" applyFill="1" applyBorder="1" applyAlignment="1">
      <alignment horizontal="center"/>
    </xf>
    <xf numFmtId="0" fontId="21" fillId="12" borderId="9" xfId="0" applyFont="1" applyFill="1" applyBorder="1"/>
    <xf numFmtId="0" fontId="21" fillId="12" borderId="13" xfId="0" applyFont="1" applyFill="1" applyBorder="1"/>
    <xf numFmtId="0" fontId="21" fillId="12" borderId="13" xfId="0" quotePrefix="1" applyFont="1" applyFill="1" applyBorder="1" applyAlignment="1">
      <alignment horizontal="center"/>
    </xf>
    <xf numFmtId="169" fontId="21" fillId="12" borderId="13" xfId="0" applyNumberFormat="1" applyFont="1" applyFill="1" applyBorder="1" applyAlignment="1">
      <alignment horizontal="center" vertical="center"/>
    </xf>
    <xf numFmtId="0" fontId="22" fillId="12" borderId="1" xfId="0" applyFont="1" applyFill="1" applyBorder="1"/>
    <xf numFmtId="0" fontId="32" fillId="12" borderId="12" xfId="0" applyFont="1" applyFill="1" applyBorder="1"/>
    <xf numFmtId="0" fontId="32" fillId="12" borderId="12" xfId="0" quotePrefix="1" applyFont="1" applyFill="1" applyBorder="1" applyAlignment="1">
      <alignment horizontal="center"/>
    </xf>
    <xf numFmtId="165" fontId="32" fillId="12" borderId="12" xfId="0" applyNumberFormat="1" applyFont="1" applyFill="1" applyBorder="1" applyAlignment="1">
      <alignment horizontal="center" vertical="center"/>
    </xf>
    <xf numFmtId="0" fontId="32" fillId="12" borderId="1" xfId="0" applyFont="1" applyFill="1" applyBorder="1"/>
    <xf numFmtId="0" fontId="32" fillId="12" borderId="1" xfId="0" quotePrefix="1" applyFont="1" applyFill="1" applyBorder="1" applyAlignment="1">
      <alignment horizontal="center"/>
    </xf>
    <xf numFmtId="165" fontId="32" fillId="12" borderId="1" xfId="0" applyNumberFormat="1" applyFont="1" applyFill="1" applyBorder="1" applyAlignment="1">
      <alignment horizontal="center" vertical="center"/>
    </xf>
    <xf numFmtId="0" fontId="21" fillId="5" borderId="1" xfId="0" applyFont="1" applyFill="1" applyBorder="1"/>
    <xf numFmtId="0" fontId="21" fillId="5" borderId="1" xfId="0" quotePrefix="1" applyFont="1" applyFill="1" applyBorder="1" applyAlignment="1">
      <alignment horizontal="center"/>
    </xf>
    <xf numFmtId="169" fontId="21" fillId="5" borderId="1" xfId="0" applyNumberFormat="1" applyFont="1" applyFill="1" applyBorder="1" applyAlignment="1">
      <alignment horizontal="center"/>
    </xf>
    <xf numFmtId="0" fontId="21" fillId="5" borderId="9" xfId="0" quotePrefix="1" applyFont="1" applyFill="1" applyBorder="1" applyAlignment="1">
      <alignment horizontal="center"/>
    </xf>
    <xf numFmtId="0" fontId="21" fillId="5" borderId="13" xfId="0" applyFont="1" applyFill="1" applyBorder="1"/>
    <xf numFmtId="0" fontId="21" fillId="5" borderId="13" xfId="0" quotePrefix="1" applyFont="1" applyFill="1" applyBorder="1" applyAlignment="1">
      <alignment horizontal="center"/>
    </xf>
    <xf numFmtId="165" fontId="30" fillId="0" borderId="2" xfId="0" quotePrefix="1" applyNumberFormat="1" applyFont="1" applyBorder="1" applyAlignment="1">
      <alignment horizontal="center" vertical="center"/>
    </xf>
    <xf numFmtId="165" fontId="30" fillId="0" borderId="1" xfId="0" quotePrefix="1" applyNumberFormat="1" applyFont="1" applyBorder="1" applyAlignment="1">
      <alignment horizontal="center" vertical="center"/>
    </xf>
    <xf numFmtId="169" fontId="32" fillId="12" borderId="2" xfId="0" applyNumberFormat="1" applyFont="1" applyFill="1" applyBorder="1" applyAlignment="1">
      <alignment horizontal="center"/>
    </xf>
    <xf numFmtId="169" fontId="32" fillId="12" borderId="9" xfId="0" applyNumberFormat="1" applyFont="1" applyFill="1" applyBorder="1" applyAlignment="1">
      <alignment horizontal="center" vertical="center"/>
    </xf>
    <xf numFmtId="0" fontId="32" fillId="12" borderId="13" xfId="0" applyFont="1" applyFill="1" applyBorder="1"/>
    <xf numFmtId="0" fontId="32" fillId="12" borderId="13" xfId="0" quotePrefix="1" applyFont="1" applyFill="1" applyBorder="1" applyAlignment="1">
      <alignment horizontal="center"/>
    </xf>
    <xf numFmtId="169" fontId="32" fillId="12" borderId="13" xfId="0" applyNumberFormat="1" applyFont="1" applyFill="1" applyBorder="1" applyAlignment="1">
      <alignment horizontal="center" vertical="center"/>
    </xf>
    <xf numFmtId="3" fontId="21" fillId="0" borderId="1" xfId="0" applyNumberFormat="1" applyFont="1" applyBorder="1" applyAlignment="1">
      <alignment horizontal="center"/>
    </xf>
    <xf numFmtId="165" fontId="17" fillId="0" borderId="1" xfId="0" applyNumberFormat="1" applyFont="1" applyBorder="1"/>
    <xf numFmtId="165" fontId="17" fillId="0" borderId="10" xfId="0" applyNumberFormat="1" applyFont="1" applyBorder="1"/>
    <xf numFmtId="165" fontId="31" fillId="0" borderId="1" xfId="0" applyNumberFormat="1" applyFont="1" applyBorder="1"/>
    <xf numFmtId="169" fontId="32" fillId="12" borderId="33" xfId="0" applyNumberFormat="1" applyFont="1" applyFill="1" applyBorder="1" applyAlignment="1">
      <alignment horizontal="center" vertical="center"/>
    </xf>
    <xf numFmtId="3" fontId="21" fillId="0" borderId="34" xfId="0" applyNumberFormat="1" applyFont="1" applyBorder="1" applyAlignment="1">
      <alignment horizontal="center" vertical="center"/>
    </xf>
    <xf numFmtId="0" fontId="22" fillId="0" borderId="1" xfId="0" applyFont="1" applyBorder="1" applyAlignment="1">
      <alignment horizontal="left"/>
    </xf>
    <xf numFmtId="0" fontId="22" fillId="0" borderId="1" xfId="0" applyFont="1" applyBorder="1"/>
    <xf numFmtId="165" fontId="21" fillId="0" borderId="1" xfId="0" applyNumberFormat="1" applyFont="1" applyBorder="1"/>
    <xf numFmtId="165" fontId="22" fillId="0" borderId="1" xfId="0" applyNumberFormat="1" applyFont="1" applyBorder="1"/>
    <xf numFmtId="165" fontId="21" fillId="0" borderId="34" xfId="0" applyNumberFormat="1" applyFont="1" applyBorder="1" applyAlignment="1">
      <alignment horizontal="center"/>
    </xf>
    <xf numFmtId="169" fontId="21" fillId="0" borderId="34" xfId="0" applyNumberFormat="1" applyFont="1" applyBorder="1" applyAlignment="1">
      <alignment horizontal="center"/>
    </xf>
    <xf numFmtId="169" fontId="21" fillId="5" borderId="34" xfId="0" applyNumberFormat="1" applyFont="1" applyFill="1" applyBorder="1" applyAlignment="1">
      <alignment horizontal="center"/>
    </xf>
    <xf numFmtId="169" fontId="21" fillId="5" borderId="24" xfId="0" applyNumberFormat="1" applyFont="1" applyFill="1" applyBorder="1" applyAlignment="1">
      <alignment horizontal="center" vertical="center"/>
    </xf>
    <xf numFmtId="169" fontId="32" fillId="12" borderId="35" xfId="0" applyNumberFormat="1" applyFont="1" applyFill="1" applyBorder="1" applyAlignment="1">
      <alignment horizontal="center"/>
    </xf>
    <xf numFmtId="169" fontId="32" fillId="12" borderId="24" xfId="0" applyNumberFormat="1" applyFont="1" applyFill="1" applyBorder="1" applyAlignment="1">
      <alignment horizontal="center" vertical="center"/>
    </xf>
    <xf numFmtId="0" fontId="19" fillId="0" borderId="27" xfId="2" applyFont="1" applyBorder="1" applyAlignment="1">
      <alignment horizontal="left"/>
    </xf>
    <xf numFmtId="0" fontId="28" fillId="0" borderId="0" xfId="0" applyFont="1"/>
    <xf numFmtId="9" fontId="21" fillId="13" borderId="35" xfId="0" applyNumberFormat="1" applyFont="1" applyFill="1" applyBorder="1" applyAlignment="1">
      <alignment horizontal="center"/>
    </xf>
    <xf numFmtId="165" fontId="21" fillId="13" borderId="34" xfId="0" applyNumberFormat="1" applyFont="1" applyFill="1" applyBorder="1" applyAlignment="1">
      <alignment horizontal="center"/>
    </xf>
    <xf numFmtId="165" fontId="21" fillId="13" borderId="27" xfId="0" applyNumberFormat="1" applyFont="1" applyFill="1" applyBorder="1" applyAlignment="1">
      <alignment horizontal="center"/>
    </xf>
    <xf numFmtId="165" fontId="21" fillId="13" borderId="35" xfId="0" applyNumberFormat="1" applyFont="1" applyFill="1" applyBorder="1" applyAlignment="1">
      <alignment horizontal="center"/>
    </xf>
    <xf numFmtId="165" fontId="21" fillId="13" borderId="24" xfId="0" applyNumberFormat="1" applyFont="1" applyFill="1" applyBorder="1" applyAlignment="1">
      <alignment horizontal="center"/>
    </xf>
    <xf numFmtId="165" fontId="21" fillId="13" borderId="33" xfId="0" applyNumberFormat="1" applyFont="1" applyFill="1" applyBorder="1" applyAlignment="1">
      <alignment horizontal="center"/>
    </xf>
    <xf numFmtId="165" fontId="21" fillId="13" borderId="30" xfId="0" applyNumberFormat="1" applyFont="1" applyFill="1" applyBorder="1" applyAlignment="1">
      <alignment horizontal="center" vertical="center"/>
    </xf>
    <xf numFmtId="165" fontId="21" fillId="13" borderId="34" xfId="0" applyNumberFormat="1" applyFont="1" applyFill="1" applyBorder="1" applyAlignment="1">
      <alignment horizontal="center" vertical="center"/>
    </xf>
    <xf numFmtId="0" fontId="33" fillId="0" borderId="0" xfId="0" applyFont="1"/>
    <xf numFmtId="0" fontId="21" fillId="0" borderId="0" xfId="0" applyFont="1" applyAlignment="1">
      <alignment horizontal="left"/>
    </xf>
    <xf numFmtId="0" fontId="0" fillId="0" borderId="0" xfId="0" applyAlignment="1">
      <alignment horizontal="left"/>
    </xf>
    <xf numFmtId="0" fontId="29" fillId="0" borderId="5" xfId="0" applyFont="1" applyBorder="1" applyAlignment="1">
      <alignment horizontal="left" vertical="center"/>
    </xf>
    <xf numFmtId="0" fontId="29" fillId="0" borderId="7" xfId="0" applyFont="1" applyBorder="1" applyAlignment="1">
      <alignment horizontal="left" vertical="center"/>
    </xf>
    <xf numFmtId="0" fontId="21" fillId="0" borderId="0" xfId="0" applyFont="1" applyAlignment="1">
      <alignment horizontal="right"/>
    </xf>
    <xf numFmtId="0" fontId="0" fillId="0" borderId="0" xfId="0" applyAlignment="1">
      <alignment horizontal="right"/>
    </xf>
    <xf numFmtId="0" fontId="29" fillId="0" borderId="27" xfId="2" applyFont="1" applyBorder="1" applyAlignment="1">
      <alignment vertical="center"/>
    </xf>
    <xf numFmtId="0" fontId="29" fillId="0" borderId="0" xfId="0" applyFont="1" applyAlignment="1">
      <alignment horizontal="right" vertical="center"/>
    </xf>
    <xf numFmtId="0" fontId="29" fillId="0" borderId="0" xfId="0" applyFont="1" applyAlignment="1">
      <alignment horizontal="left" vertical="center"/>
    </xf>
    <xf numFmtId="0" fontId="29" fillId="0" borderId="0" xfId="0" applyFont="1" applyAlignment="1">
      <alignment vertical="center"/>
    </xf>
    <xf numFmtId="0" fontId="29" fillId="0" borderId="11" xfId="0" applyFont="1" applyBorder="1" applyAlignment="1">
      <alignment vertical="center"/>
    </xf>
    <xf numFmtId="0" fontId="29" fillId="0" borderId="27" xfId="0" applyFont="1" applyBorder="1" applyAlignment="1">
      <alignment vertical="center"/>
    </xf>
    <xf numFmtId="0" fontId="29" fillId="0" borderId="24" xfId="0" applyFont="1" applyBorder="1" applyAlignment="1">
      <alignment vertical="center"/>
    </xf>
    <xf numFmtId="0" fontId="29" fillId="0" borderId="25" xfId="0" applyFont="1" applyBorder="1" applyAlignment="1">
      <alignment horizontal="left" vertical="center"/>
    </xf>
    <xf numFmtId="0" fontId="29" fillId="0" borderId="25" xfId="0" applyFont="1" applyBorder="1" applyAlignment="1">
      <alignment horizontal="right" vertical="center"/>
    </xf>
    <xf numFmtId="0" fontId="29" fillId="0" borderId="25" xfId="0" applyFont="1" applyBorder="1" applyAlignment="1">
      <alignment vertical="center"/>
    </xf>
    <xf numFmtId="0" fontId="29" fillId="0" borderId="26" xfId="0" applyFont="1" applyBorder="1" applyAlignment="1">
      <alignment vertical="center"/>
    </xf>
    <xf numFmtId="0" fontId="29" fillId="0" borderId="0" xfId="2" applyFont="1" applyAlignment="1">
      <alignment horizontal="left" vertical="center"/>
    </xf>
    <xf numFmtId="0" fontId="29" fillId="0" borderId="0" xfId="2" applyFont="1" applyAlignment="1">
      <alignment horizontal="right" vertical="center"/>
    </xf>
    <xf numFmtId="164" fontId="29" fillId="0" borderId="0" xfId="2" applyNumberFormat="1" applyFont="1" applyAlignment="1">
      <alignment horizontal="right" vertical="center"/>
    </xf>
    <xf numFmtId="0" fontId="29" fillId="0" borderId="11" xfId="2" applyFont="1" applyBorder="1" applyAlignment="1">
      <alignment horizontal="left" vertical="center"/>
    </xf>
    <xf numFmtId="0" fontId="34" fillId="0" borderId="0" xfId="0" applyFont="1" applyAlignment="1">
      <alignment vertical="center"/>
    </xf>
    <xf numFmtId="0" fontId="34" fillId="0" borderId="0" xfId="0" applyFont="1" applyAlignment="1">
      <alignment horizontal="right" vertical="center"/>
    </xf>
    <xf numFmtId="0" fontId="34" fillId="0" borderId="11" xfId="0" applyFont="1" applyBorder="1" applyAlignment="1">
      <alignment vertical="center"/>
    </xf>
    <xf numFmtId="0" fontId="34" fillId="0" borderId="0" xfId="0" applyFont="1" applyAlignment="1">
      <alignment horizontal="left" vertical="center"/>
    </xf>
    <xf numFmtId="0" fontId="36" fillId="0" borderId="30" xfId="0" applyFont="1" applyBorder="1" applyAlignment="1">
      <alignment vertical="center"/>
    </xf>
    <xf numFmtId="0" fontId="36" fillId="0" borderId="31" xfId="0" applyFont="1" applyBorder="1" applyAlignment="1">
      <alignment horizontal="left" vertical="center"/>
    </xf>
    <xf numFmtId="0" fontId="36" fillId="0" borderId="31" xfId="0" applyFont="1" applyBorder="1" applyAlignment="1">
      <alignment horizontal="right" vertical="center"/>
    </xf>
    <xf numFmtId="0" fontId="36" fillId="0" borderId="31" xfId="0" applyFont="1" applyBorder="1" applyAlignment="1">
      <alignment vertical="center"/>
    </xf>
    <xf numFmtId="0" fontId="34" fillId="0" borderId="11" xfId="2" applyFont="1" applyBorder="1" applyAlignment="1">
      <alignment horizontal="left" vertical="center"/>
    </xf>
    <xf numFmtId="0" fontId="34" fillId="0" borderId="11" xfId="0" applyFont="1" applyBorder="1" applyAlignment="1">
      <alignment horizontal="left" vertical="center"/>
    </xf>
    <xf numFmtId="9" fontId="34" fillId="0" borderId="0" xfId="0" applyNumberFormat="1" applyFont="1" applyAlignment="1">
      <alignment horizontal="right" vertical="center"/>
    </xf>
    <xf numFmtId="0" fontId="34" fillId="0" borderId="0" xfId="0" applyFont="1" applyAlignment="1">
      <alignment horizontal="center" vertical="center"/>
    </xf>
    <xf numFmtId="0" fontId="34" fillId="10" borderId="0" xfId="2" applyFont="1" applyFill="1" applyAlignment="1">
      <alignment horizontal="left" vertical="center"/>
    </xf>
    <xf numFmtId="0" fontId="34" fillId="10" borderId="11" xfId="2" applyFont="1" applyFill="1" applyBorder="1" applyAlignment="1">
      <alignment horizontal="left" vertical="center"/>
    </xf>
    <xf numFmtId="0" fontId="34" fillId="10" borderId="0" xfId="0" applyFont="1" applyFill="1" applyAlignment="1">
      <alignment horizontal="left" vertical="center"/>
    </xf>
    <xf numFmtId="0" fontId="34" fillId="10" borderId="11" xfId="0" applyFont="1" applyFill="1" applyBorder="1" applyAlignment="1">
      <alignment horizontal="left" vertical="center"/>
    </xf>
    <xf numFmtId="0" fontId="29" fillId="6" borderId="27" xfId="0" applyFont="1" applyFill="1" applyBorder="1" applyAlignment="1">
      <alignment vertical="center"/>
    </xf>
    <xf numFmtId="0" fontId="34" fillId="10" borderId="0" xfId="2" applyFont="1" applyFill="1" applyAlignment="1">
      <alignment horizontal="right" vertical="center"/>
    </xf>
    <xf numFmtId="0" fontId="34" fillId="10" borderId="0" xfId="0" applyFont="1" applyFill="1" applyAlignment="1">
      <alignment horizontal="right" vertical="center"/>
    </xf>
    <xf numFmtId="164" fontId="34" fillId="10" borderId="0" xfId="2" applyNumberFormat="1" applyFont="1" applyFill="1" applyAlignment="1">
      <alignment horizontal="right" vertical="center"/>
    </xf>
    <xf numFmtId="0" fontId="37" fillId="0" borderId="0" xfId="0" applyFont="1" applyAlignment="1">
      <alignment horizontal="left" vertical="center"/>
    </xf>
    <xf numFmtId="0" fontId="29" fillId="0" borderId="0" xfId="0" applyFont="1" applyAlignment="1">
      <alignment horizontal="left" vertical="center" indent="1"/>
    </xf>
    <xf numFmtId="0" fontId="35" fillId="0" borderId="0" xfId="0" applyFont="1"/>
    <xf numFmtId="1" fontId="29" fillId="0" borderId="0" xfId="0" applyNumberFormat="1" applyFont="1" applyAlignment="1">
      <alignment horizontal="right" vertical="center"/>
    </xf>
    <xf numFmtId="1" fontId="29" fillId="0" borderId="0" xfId="0" applyNumberFormat="1" applyFont="1" applyAlignment="1">
      <alignment horizontal="left" vertical="center"/>
    </xf>
    <xf numFmtId="3" fontId="30" fillId="0" borderId="0" xfId="0" applyNumberFormat="1" applyFont="1" applyAlignment="1">
      <alignment horizontal="center" vertical="center"/>
    </xf>
    <xf numFmtId="3" fontId="29" fillId="0" borderId="0" xfId="0" applyNumberFormat="1" applyFont="1" applyAlignment="1">
      <alignment horizontal="center" vertical="center"/>
    </xf>
    <xf numFmtId="0" fontId="38" fillId="0" borderId="36" xfId="1" applyFont="1" applyFill="1" applyBorder="1"/>
    <xf numFmtId="0" fontId="38" fillId="0" borderId="0" xfId="1" applyFont="1" applyAlignment="1">
      <alignment horizontal="left" vertical="center"/>
    </xf>
    <xf numFmtId="3" fontId="30" fillId="0" borderId="1" xfId="0" applyNumberFormat="1" applyFont="1" applyBorder="1" applyAlignment="1">
      <alignment horizontal="center"/>
    </xf>
    <xf numFmtId="0" fontId="12" fillId="0" borderId="2" xfId="0" applyFont="1" applyBorder="1"/>
    <xf numFmtId="0" fontId="12" fillId="0" borderId="12" xfId="0" applyFont="1" applyBorder="1"/>
    <xf numFmtId="9" fontId="21" fillId="0" borderId="12" xfId="0" applyNumberFormat="1" applyFont="1" applyBorder="1" applyAlignment="1">
      <alignment horizontal="center"/>
    </xf>
    <xf numFmtId="0" fontId="37" fillId="0" borderId="1" xfId="0" applyFont="1" applyBorder="1"/>
    <xf numFmtId="9" fontId="17" fillId="0" borderId="11" xfId="0" applyNumberFormat="1" applyFont="1" applyBorder="1" applyAlignment="1">
      <alignment vertical="top" wrapText="1"/>
    </xf>
    <xf numFmtId="9" fontId="12" fillId="0" borderId="11" xfId="0" applyNumberFormat="1" applyFont="1" applyBorder="1"/>
    <xf numFmtId="9" fontId="21" fillId="0" borderId="31" xfId="0" applyNumberFormat="1" applyFont="1" applyBorder="1" applyAlignment="1">
      <alignment horizontal="center" vertical="center"/>
    </xf>
    <xf numFmtId="9" fontId="21" fillId="14" borderId="31" xfId="0" applyNumberFormat="1" applyFont="1" applyFill="1" applyBorder="1" applyAlignment="1">
      <alignment horizontal="center" vertical="center"/>
    </xf>
    <xf numFmtId="0" fontId="36" fillId="0" borderId="32" xfId="0" applyFont="1" applyBorder="1" applyAlignment="1">
      <alignment vertical="center"/>
    </xf>
    <xf numFmtId="0" fontId="11" fillId="0" borderId="1" xfId="0" applyFont="1" applyBorder="1"/>
    <xf numFmtId="0" fontId="42" fillId="0" borderId="0" xfId="0" applyFont="1"/>
    <xf numFmtId="0" fontId="10" fillId="0" borderId="1" xfId="0" applyFont="1" applyBorder="1"/>
    <xf numFmtId="169" fontId="37" fillId="5" borderId="1" xfId="0" applyNumberFormat="1" applyFont="1" applyFill="1" applyBorder="1" applyAlignment="1">
      <alignment horizontal="center"/>
    </xf>
    <xf numFmtId="9" fontId="37" fillId="15" borderId="2" xfId="0" applyNumberFormat="1" applyFont="1" applyFill="1" applyBorder="1" applyAlignment="1">
      <alignment horizontal="center"/>
    </xf>
    <xf numFmtId="0" fontId="9" fillId="0" borderId="1" xfId="0" applyFont="1" applyBorder="1"/>
    <xf numFmtId="0" fontId="8" fillId="0" borderId="27" xfId="0" applyFont="1" applyBorder="1" applyAlignment="1">
      <alignment horizontal="center" vertical="center"/>
    </xf>
    <xf numFmtId="165" fontId="41" fillId="0" borderId="30" xfId="0" applyNumberFormat="1" applyFont="1" applyBorder="1" applyAlignment="1">
      <alignment vertical="center"/>
    </xf>
    <xf numFmtId="9" fontId="8" fillId="0" borderId="26" xfId="0" applyNumberFormat="1" applyFont="1" applyBorder="1" applyAlignment="1">
      <alignment horizontal="center" vertical="center"/>
    </xf>
    <xf numFmtId="9" fontId="8" fillId="0" borderId="11" xfId="0" applyNumberFormat="1" applyFont="1" applyBorder="1" applyAlignment="1">
      <alignment horizontal="center" vertical="center"/>
    </xf>
    <xf numFmtId="9" fontId="8" fillId="14" borderId="11" xfId="0" applyNumberFormat="1" applyFont="1" applyFill="1" applyBorder="1" applyAlignment="1">
      <alignment horizontal="center" vertical="center"/>
    </xf>
    <xf numFmtId="165" fontId="8" fillId="0" borderId="24" xfId="0" applyNumberFormat="1" applyFont="1" applyBorder="1" applyAlignment="1">
      <alignment horizontal="center" vertical="center"/>
    </xf>
    <xf numFmtId="165" fontId="8" fillId="0" borderId="27" xfId="0" applyNumberFormat="1" applyFont="1" applyBorder="1" applyAlignment="1">
      <alignment horizontal="center" vertical="center"/>
    </xf>
    <xf numFmtId="165" fontId="8" fillId="14" borderId="27" xfId="0" applyNumberFormat="1" applyFont="1" applyFill="1" applyBorder="1" applyAlignment="1">
      <alignment horizontal="center" vertical="center"/>
    </xf>
    <xf numFmtId="0" fontId="17" fillId="0" borderId="3" xfId="0" applyFont="1" applyBorder="1" applyAlignment="1">
      <alignment horizontal="left" vertical="center"/>
    </xf>
    <xf numFmtId="9" fontId="7" fillId="0" borderId="11" xfId="0" applyNumberFormat="1" applyFont="1" applyBorder="1"/>
    <xf numFmtId="0" fontId="7" fillId="0" borderId="1" xfId="0" applyFont="1" applyBorder="1"/>
    <xf numFmtId="9" fontId="7" fillId="0" borderId="31" xfId="0" applyNumberFormat="1" applyFont="1" applyBorder="1" applyAlignment="1">
      <alignment horizontal="center"/>
    </xf>
    <xf numFmtId="9" fontId="7" fillId="14" borderId="31" xfId="0" applyNumberFormat="1" applyFont="1" applyFill="1" applyBorder="1" applyAlignment="1">
      <alignment horizontal="center"/>
    </xf>
    <xf numFmtId="9" fontId="7" fillId="14" borderId="11" xfId="0" applyNumberFormat="1" applyFont="1" applyFill="1" applyBorder="1"/>
    <xf numFmtId="0" fontId="6" fillId="0" borderId="12" xfId="0" applyFont="1" applyBorder="1"/>
    <xf numFmtId="9" fontId="17" fillId="0" borderId="11" xfId="0" applyNumberFormat="1" applyFont="1" applyBorder="1" applyAlignment="1">
      <alignment horizontal="right" vertical="top" wrapText="1"/>
    </xf>
    <xf numFmtId="9" fontId="17" fillId="14" borderId="11" xfId="0" applyNumberFormat="1" applyFont="1" applyFill="1" applyBorder="1" applyAlignment="1">
      <alignment vertical="top" wrapText="1"/>
    </xf>
    <xf numFmtId="9" fontId="17" fillId="0" borderId="0" xfId="0" applyNumberFormat="1" applyFont="1" applyAlignment="1">
      <alignment vertical="top" wrapText="1"/>
    </xf>
    <xf numFmtId="165" fontId="27" fillId="9" borderId="14" xfId="0" applyNumberFormat="1" applyFont="1" applyFill="1" applyBorder="1" applyAlignment="1">
      <alignment horizontal="left" wrapText="1"/>
    </xf>
    <xf numFmtId="165" fontId="21" fillId="7" borderId="14" xfId="0" applyNumberFormat="1" applyFont="1" applyFill="1" applyBorder="1" applyAlignment="1">
      <alignment horizontal="left" wrapText="1"/>
    </xf>
    <xf numFmtId="0" fontId="22" fillId="7" borderId="1" xfId="0" applyFont="1" applyFill="1" applyBorder="1" applyAlignment="1">
      <alignment horizontal="left" vertical="center" wrapText="1"/>
    </xf>
    <xf numFmtId="0" fontId="22" fillId="7" borderId="1" xfId="0" applyFont="1" applyFill="1" applyBorder="1" applyAlignment="1">
      <alignment horizontal="left" vertical="center"/>
    </xf>
    <xf numFmtId="0" fontId="21" fillId="7" borderId="1" xfId="0" applyFont="1" applyFill="1" applyBorder="1" applyAlignment="1">
      <alignment horizontal="left" wrapText="1"/>
    </xf>
    <xf numFmtId="0" fontId="19" fillId="2" borderId="27" xfId="2" applyFont="1" applyFill="1" applyBorder="1" applyAlignment="1">
      <alignment horizontal="left"/>
    </xf>
    <xf numFmtId="9" fontId="6" fillId="0" borderId="1" xfId="0" applyNumberFormat="1" applyFont="1" applyBorder="1" applyAlignment="1">
      <alignment horizontal="center" vertical="center"/>
    </xf>
    <xf numFmtId="0" fontId="6" fillId="0" borderId="0" xfId="0" applyFont="1"/>
    <xf numFmtId="0" fontId="6" fillId="0" borderId="1" xfId="0" applyFont="1" applyBorder="1" applyAlignment="1">
      <alignment horizontal="center" vertical="center"/>
    </xf>
    <xf numFmtId="1" fontId="6" fillId="0" borderId="1" xfId="0" applyNumberFormat="1" applyFont="1" applyBorder="1" applyAlignment="1">
      <alignment horizontal="center" vertical="center"/>
    </xf>
    <xf numFmtId="0" fontId="19" fillId="2" borderId="26" xfId="2" applyFont="1" applyFill="1" applyBorder="1" applyAlignment="1">
      <alignment horizontal="left"/>
    </xf>
    <xf numFmtId="0" fontId="21" fillId="0" borderId="11" xfId="0" applyFont="1" applyBorder="1"/>
    <xf numFmtId="0" fontId="40" fillId="0" borderId="0" xfId="0" applyFont="1"/>
    <xf numFmtId="165" fontId="0" fillId="0" borderId="0" xfId="0" applyNumberFormat="1"/>
    <xf numFmtId="9" fontId="0" fillId="0" borderId="0" xfId="0" applyNumberFormat="1"/>
    <xf numFmtId="9" fontId="40" fillId="0" borderId="0" xfId="0" applyNumberFormat="1" applyFont="1"/>
    <xf numFmtId="0" fontId="39" fillId="0" borderId="0" xfId="0" applyFont="1"/>
    <xf numFmtId="0" fontId="31" fillId="0" borderId="0" xfId="0" applyFont="1" applyAlignment="1">
      <alignment horizontal="left" vertical="top" wrapText="1"/>
    </xf>
    <xf numFmtId="2" fontId="41" fillId="0" borderId="0" xfId="0" applyNumberFormat="1" applyFont="1"/>
    <xf numFmtId="0" fontId="21" fillId="0" borderId="0" xfId="0" applyFont="1" applyAlignment="1">
      <alignment horizontal="center" vertical="center"/>
    </xf>
    <xf numFmtId="165" fontId="21" fillId="0" borderId="0" xfId="0" applyNumberFormat="1" applyFont="1" applyAlignment="1">
      <alignment horizontal="center" vertical="center"/>
    </xf>
    <xf numFmtId="0" fontId="0" fillId="0" borderId="11" xfId="0" applyBorder="1"/>
    <xf numFmtId="0" fontId="31" fillId="0" borderId="0" xfId="0" applyFont="1" applyAlignment="1">
      <alignment vertical="top" wrapText="1"/>
    </xf>
    <xf numFmtId="165" fontId="17" fillId="0" borderId="0" xfId="0" applyNumberFormat="1" applyFont="1" applyAlignment="1">
      <alignment horizontal="right" vertical="top" wrapText="1"/>
    </xf>
    <xf numFmtId="0" fontId="0" fillId="0" borderId="0" xfId="0" applyAlignment="1">
      <alignment textRotation="90"/>
    </xf>
    <xf numFmtId="2" fontId="0" fillId="0" borderId="0" xfId="0" applyNumberFormat="1"/>
    <xf numFmtId="0" fontId="7" fillId="0" borderId="0" xfId="0" applyFont="1"/>
    <xf numFmtId="165" fontId="41" fillId="0" borderId="0" xfId="0" applyNumberFormat="1" applyFont="1"/>
    <xf numFmtId="165" fontId="7" fillId="0" borderId="0" xfId="0" applyNumberFormat="1" applyFont="1" applyAlignment="1">
      <alignment horizontal="center"/>
    </xf>
    <xf numFmtId="165" fontId="7" fillId="14" borderId="0" xfId="0" applyNumberFormat="1" applyFont="1" applyFill="1" applyAlignment="1">
      <alignment horizontal="center"/>
    </xf>
    <xf numFmtId="164" fontId="44" fillId="2" borderId="0" xfId="2" applyNumberFormat="1" applyFont="1" applyFill="1" applyAlignment="1">
      <alignment horizontal="center"/>
    </xf>
    <xf numFmtId="0" fontId="44" fillId="2" borderId="0" xfId="2" applyFont="1" applyFill="1"/>
    <xf numFmtId="0" fontId="0" fillId="2" borderId="0" xfId="0" applyFill="1"/>
    <xf numFmtId="0" fontId="0" fillId="2" borderId="11" xfId="0" applyFill="1" applyBorder="1"/>
    <xf numFmtId="0" fontId="0" fillId="0" borderId="31" xfId="0" applyBorder="1"/>
    <xf numFmtId="0" fontId="20" fillId="0" borderId="27" xfId="0" applyFont="1" applyBorder="1"/>
    <xf numFmtId="0" fontId="0" fillId="0" borderId="27" xfId="0" applyBorder="1"/>
    <xf numFmtId="0" fontId="12" fillId="0" borderId="27" xfId="0" applyFont="1" applyBorder="1"/>
    <xf numFmtId="0" fontId="31" fillId="0" borderId="27" xfId="0" applyFont="1" applyBorder="1" applyAlignment="1">
      <alignment horizontal="left" vertical="top" wrapText="1"/>
    </xf>
    <xf numFmtId="9" fontId="17" fillId="0" borderId="27" xfId="0" applyNumberFormat="1" applyFont="1" applyBorder="1" applyAlignment="1">
      <alignment horizontal="right" vertical="top" wrapText="1"/>
    </xf>
    <xf numFmtId="49" fontId="0" fillId="0" borderId="27" xfId="0" applyNumberFormat="1" applyBorder="1"/>
    <xf numFmtId="0" fontId="6" fillId="0" borderId="30" xfId="0" applyFont="1" applyBorder="1"/>
    <xf numFmtId="0" fontId="6" fillId="0" borderId="0" xfId="0" applyFont="1" applyAlignment="1">
      <alignment horizontal="left" vertical="top" wrapText="1"/>
    </xf>
    <xf numFmtId="0" fontId="6" fillId="0" borderId="11" xfId="0" applyFont="1" applyBorder="1" applyAlignment="1">
      <alignment horizontal="left" vertical="top" wrapText="1"/>
    </xf>
    <xf numFmtId="0" fontId="6" fillId="0" borderId="27" xfId="0" applyFont="1" applyBorder="1" applyAlignment="1">
      <alignment horizontal="left" vertical="top" wrapText="1"/>
    </xf>
    <xf numFmtId="0" fontId="6" fillId="7" borderId="1" xfId="0" applyFont="1" applyFill="1" applyBorder="1" applyAlignment="1">
      <alignment vertical="center" wrapText="1"/>
    </xf>
    <xf numFmtId="0" fontId="19" fillId="10" borderId="25" xfId="2" applyFont="1" applyFill="1" applyBorder="1" applyAlignment="1">
      <alignment horizontal="left"/>
    </xf>
    <xf numFmtId="0" fontId="20" fillId="0" borderId="0" xfId="0" applyFont="1"/>
    <xf numFmtId="0" fontId="21" fillId="0" borderId="40" xfId="0" applyFont="1" applyBorder="1"/>
    <xf numFmtId="0" fontId="5" fillId="0" borderId="1" xfId="0" applyFont="1" applyBorder="1"/>
    <xf numFmtId="0" fontId="4" fillId="0" borderId="1" xfId="0" applyFont="1" applyBorder="1"/>
    <xf numFmtId="0" fontId="31" fillId="0" borderId="0" xfId="0" applyFont="1" applyAlignment="1">
      <alignment horizontal="left" vertical="center"/>
    </xf>
    <xf numFmtId="0" fontId="46" fillId="2" borderId="0" xfId="2" applyFont="1" applyFill="1" applyAlignment="1">
      <alignment horizontal="left"/>
    </xf>
    <xf numFmtId="0" fontId="19" fillId="2" borderId="11" xfId="2" applyFont="1" applyFill="1" applyBorder="1" applyAlignment="1">
      <alignment horizontal="left"/>
    </xf>
    <xf numFmtId="0" fontId="19" fillId="2" borderId="24" xfId="2" applyFont="1" applyFill="1" applyBorder="1" applyAlignment="1">
      <alignment horizontal="left"/>
    </xf>
    <xf numFmtId="0" fontId="46" fillId="2" borderId="25" xfId="2" applyFont="1" applyFill="1" applyBorder="1" applyAlignment="1">
      <alignment horizontal="left"/>
    </xf>
    <xf numFmtId="0" fontId="3" fillId="7" borderId="14" xfId="0" applyFont="1" applyFill="1" applyBorder="1" applyAlignment="1">
      <alignment wrapText="1"/>
    </xf>
    <xf numFmtId="0" fontId="46" fillId="0" borderId="0" xfId="2" applyFont="1" applyAlignment="1">
      <alignment horizontal="left"/>
    </xf>
    <xf numFmtId="0" fontId="19" fillId="0" borderId="11" xfId="2" applyFont="1" applyBorder="1" applyAlignment="1">
      <alignment horizontal="left"/>
    </xf>
    <xf numFmtId="0" fontId="0" fillId="0" borderId="32" xfId="0" applyBorder="1"/>
    <xf numFmtId="0" fontId="17" fillId="0" borderId="0" xfId="0" applyFont="1" applyAlignment="1">
      <alignment horizontal="left" vertical="center"/>
    </xf>
    <xf numFmtId="1" fontId="37" fillId="0" borderId="4" xfId="0" applyNumberFormat="1" applyFont="1" applyBorder="1" applyAlignment="1">
      <alignment horizontal="left" vertical="center"/>
    </xf>
    <xf numFmtId="1" fontId="37" fillId="0" borderId="6" xfId="0" applyNumberFormat="1" applyFont="1" applyBorder="1" applyAlignment="1">
      <alignment horizontal="center" vertical="center"/>
    </xf>
    <xf numFmtId="1" fontId="37" fillId="0" borderId="8" xfId="0" applyNumberFormat="1" applyFont="1" applyBorder="1" applyAlignment="1">
      <alignment horizontal="center" vertical="center"/>
    </xf>
    <xf numFmtId="0" fontId="48" fillId="6" borderId="1" xfId="0" applyFont="1" applyFill="1" applyBorder="1" applyAlignment="1">
      <alignment horizontal="center" vertical="center"/>
    </xf>
    <xf numFmtId="0" fontId="47" fillId="6" borderId="1" xfId="0" applyFont="1" applyFill="1" applyBorder="1" applyAlignment="1">
      <alignment horizontal="center" vertical="center"/>
    </xf>
    <xf numFmtId="0" fontId="29" fillId="0" borderId="1" xfId="0" applyFont="1" applyBorder="1" applyAlignment="1">
      <alignment horizontal="left" vertical="center" indent="1"/>
    </xf>
    <xf numFmtId="0" fontId="38" fillId="0" borderId="1" xfId="1" applyFont="1" applyBorder="1" applyAlignment="1">
      <alignment horizontal="left" vertical="center"/>
    </xf>
    <xf numFmtId="0" fontId="37" fillId="0" borderId="1" xfId="0" applyFont="1" applyBorder="1" applyAlignment="1">
      <alignment horizontal="left" vertical="center"/>
    </xf>
    <xf numFmtId="0" fontId="37" fillId="2" borderId="1" xfId="0" applyFont="1" applyFill="1" applyBorder="1" applyAlignment="1">
      <alignment horizontal="center" vertical="center"/>
    </xf>
    <xf numFmtId="9" fontId="37" fillId="2" borderId="1" xfId="0" applyNumberFormat="1" applyFont="1" applyFill="1" applyBorder="1" applyAlignment="1">
      <alignment horizontal="center" vertical="center"/>
    </xf>
    <xf numFmtId="0" fontId="48" fillId="6" borderId="9" xfId="0" applyFont="1" applyFill="1" applyBorder="1" applyAlignment="1">
      <alignment horizontal="center" vertical="center"/>
    </xf>
    <xf numFmtId="1" fontId="37" fillId="2" borderId="1" xfId="0" applyNumberFormat="1" applyFont="1" applyFill="1" applyBorder="1" applyAlignment="1">
      <alignment horizontal="center" vertical="center"/>
    </xf>
    <xf numFmtId="0" fontId="29" fillId="0" borderId="42" xfId="0" applyFont="1" applyBorder="1" applyAlignment="1">
      <alignment horizontal="left" vertical="center" indent="1"/>
    </xf>
    <xf numFmtId="0" fontId="29" fillId="0" borderId="42" xfId="0" applyFont="1" applyBorder="1" applyAlignment="1">
      <alignment horizontal="left" vertical="center"/>
    </xf>
    <xf numFmtId="0" fontId="17" fillId="0" borderId="42" xfId="0" applyFont="1" applyBorder="1" applyAlignment="1">
      <alignment horizontal="left" vertical="center" indent="1"/>
    </xf>
    <xf numFmtId="0" fontId="38" fillId="0" borderId="42" xfId="1" applyFont="1" applyBorder="1" applyAlignment="1">
      <alignment horizontal="left" vertical="center"/>
    </xf>
    <xf numFmtId="165" fontId="29" fillId="0" borderId="1" xfId="0" applyNumberFormat="1" applyFont="1" applyBorder="1" applyAlignment="1">
      <alignment horizontal="center" vertical="center"/>
    </xf>
    <xf numFmtId="9" fontId="29" fillId="0" borderId="1" xfId="0" applyNumberFormat="1" applyFont="1" applyBorder="1" applyAlignment="1">
      <alignment horizontal="center" vertical="center"/>
    </xf>
    <xf numFmtId="0" fontId="48" fillId="6" borderId="9" xfId="0" applyFont="1" applyFill="1" applyBorder="1" applyAlignment="1">
      <alignment horizontal="center" vertical="center" wrapText="1"/>
    </xf>
    <xf numFmtId="165" fontId="37" fillId="8" borderId="1" xfId="0" applyNumberFormat="1" applyFont="1" applyFill="1" applyBorder="1" applyAlignment="1">
      <alignment horizontal="center" vertical="center"/>
    </xf>
    <xf numFmtId="1" fontId="29" fillId="15" borderId="1" xfId="0" applyNumberFormat="1" applyFont="1" applyFill="1" applyBorder="1" applyAlignment="1">
      <alignment horizontal="center" vertical="center"/>
    </xf>
    <xf numFmtId="1" fontId="29" fillId="0" borderId="1" xfId="0" applyNumberFormat="1" applyFont="1" applyBorder="1" applyAlignment="1">
      <alignment horizontal="center" vertical="center"/>
    </xf>
    <xf numFmtId="0" fontId="37" fillId="0" borderId="1" xfId="0" applyFont="1" applyBorder="1" applyAlignment="1">
      <alignment horizontal="left" vertical="center" indent="1"/>
    </xf>
    <xf numFmtId="1" fontId="37" fillId="15" borderId="1" xfId="0" applyNumberFormat="1" applyFont="1" applyFill="1" applyBorder="1" applyAlignment="1">
      <alignment horizontal="center" vertical="center"/>
    </xf>
    <xf numFmtId="1" fontId="37" fillId="2" borderId="42" xfId="0" applyNumberFormat="1" applyFont="1" applyFill="1" applyBorder="1" applyAlignment="1">
      <alignment horizontal="center" vertical="center"/>
    </xf>
    <xf numFmtId="1" fontId="29" fillId="15" borderId="42" xfId="0" applyNumberFormat="1" applyFont="1" applyFill="1" applyBorder="1" applyAlignment="1">
      <alignment horizontal="center" vertical="center"/>
    </xf>
    <xf numFmtId="1" fontId="29" fillId="0" borderId="42" xfId="0" applyNumberFormat="1" applyFont="1" applyBorder="1" applyAlignment="1">
      <alignment horizontal="center" vertical="center"/>
    </xf>
    <xf numFmtId="0" fontId="17" fillId="0" borderId="1" xfId="0" applyFont="1" applyBorder="1" applyAlignment="1">
      <alignment horizontal="left" vertical="center"/>
    </xf>
    <xf numFmtId="3" fontId="29" fillId="0" borderId="42" xfId="0" applyNumberFormat="1" applyFont="1" applyBorder="1" applyAlignment="1">
      <alignment horizontal="center" vertical="center"/>
    </xf>
    <xf numFmtId="0" fontId="37" fillId="0" borderId="42" xfId="0" applyFont="1" applyBorder="1" applyAlignment="1">
      <alignment horizontal="left" vertical="center"/>
    </xf>
    <xf numFmtId="0" fontId="38" fillId="0" borderId="42" xfId="1" applyFont="1" applyFill="1" applyBorder="1"/>
    <xf numFmtId="3" fontId="37" fillId="2" borderId="42" xfId="0" applyNumberFormat="1" applyFont="1" applyFill="1" applyBorder="1" applyAlignment="1">
      <alignment horizontal="center" vertical="center"/>
    </xf>
    <xf numFmtId="3" fontId="37" fillId="2" borderId="1" xfId="0" applyNumberFormat="1" applyFont="1" applyFill="1" applyBorder="1" applyAlignment="1">
      <alignment horizontal="center" vertical="center"/>
    </xf>
    <xf numFmtId="0" fontId="17" fillId="0" borderId="1" xfId="2" applyFont="1" applyBorder="1" applyAlignment="1">
      <alignment horizontal="left" vertical="center" indent="1"/>
    </xf>
    <xf numFmtId="0" fontId="37" fillId="0" borderId="1" xfId="2" applyFont="1" applyBorder="1" applyAlignment="1">
      <alignment horizontal="left" vertical="center" wrapText="1"/>
    </xf>
    <xf numFmtId="0" fontId="29" fillId="0" borderId="1" xfId="0" applyFont="1" applyBorder="1" applyAlignment="1">
      <alignment horizontal="right" vertical="center"/>
    </xf>
    <xf numFmtId="165" fontId="37" fillId="2" borderId="1" xfId="0" applyNumberFormat="1" applyFont="1" applyFill="1" applyBorder="1" applyAlignment="1">
      <alignment horizontal="center" vertical="center"/>
    </xf>
    <xf numFmtId="0" fontId="29" fillId="0" borderId="1" xfId="2" applyFont="1" applyBorder="1" applyAlignment="1">
      <alignment horizontal="left" vertical="center" indent="1"/>
    </xf>
    <xf numFmtId="171" fontId="37" fillId="2" borderId="1" xfId="0" applyNumberFormat="1" applyFont="1" applyFill="1" applyBorder="1" applyAlignment="1">
      <alignment horizontal="center" vertical="center"/>
    </xf>
    <xf numFmtId="0" fontId="49" fillId="6" borderId="9" xfId="0" applyFont="1" applyFill="1" applyBorder="1" applyAlignment="1">
      <alignment horizontal="center" vertical="center"/>
    </xf>
    <xf numFmtId="9" fontId="37" fillId="2" borderId="2" xfId="0" applyNumberFormat="1" applyFont="1" applyFill="1" applyBorder="1" applyAlignment="1">
      <alignment horizontal="center"/>
    </xf>
    <xf numFmtId="165" fontId="37" fillId="2" borderId="2" xfId="0" applyNumberFormat="1" applyFont="1" applyFill="1" applyBorder="1" applyAlignment="1">
      <alignment horizontal="center"/>
    </xf>
    <xf numFmtId="165" fontId="37" fillId="2" borderId="1" xfId="0" applyNumberFormat="1" applyFont="1" applyFill="1" applyBorder="1" applyAlignment="1">
      <alignment horizontal="center"/>
    </xf>
    <xf numFmtId="0" fontId="18" fillId="2" borderId="0" xfId="2" applyFont="1" applyFill="1" applyAlignment="1">
      <alignment horizontal="left"/>
    </xf>
    <xf numFmtId="0" fontId="50" fillId="0" borderId="0" xfId="0" applyFont="1"/>
    <xf numFmtId="165" fontId="37" fillId="2" borderId="2" xfId="0" applyNumberFormat="1" applyFont="1" applyFill="1" applyBorder="1" applyAlignment="1">
      <alignment horizontal="center" vertical="center"/>
    </xf>
    <xf numFmtId="0" fontId="21" fillId="0" borderId="25" xfId="0" applyFont="1" applyBorder="1"/>
    <xf numFmtId="0" fontId="21" fillId="0" borderId="43" xfId="0" applyFont="1" applyBorder="1"/>
    <xf numFmtId="0" fontId="51" fillId="6" borderId="1" xfId="0" applyFont="1" applyFill="1" applyBorder="1" applyAlignment="1">
      <alignment horizontal="center"/>
    </xf>
    <xf numFmtId="0" fontId="51" fillId="6" borderId="1" xfId="0" applyFont="1" applyFill="1" applyBorder="1" applyAlignment="1">
      <alignment horizontal="left"/>
    </xf>
    <xf numFmtId="3" fontId="37" fillId="2" borderId="12" xfId="0" applyNumberFormat="1" applyFont="1" applyFill="1" applyBorder="1" applyAlignment="1">
      <alignment horizontal="center" vertical="center"/>
    </xf>
    <xf numFmtId="0" fontId="22" fillId="0" borderId="31" xfId="0" applyFont="1" applyBorder="1"/>
    <xf numFmtId="0" fontId="51" fillId="0" borderId="1" xfId="0" applyFont="1" applyBorder="1" applyAlignment="1">
      <alignment wrapText="1"/>
    </xf>
    <xf numFmtId="168" fontId="51" fillId="0" borderId="1" xfId="0" applyNumberFormat="1" applyFont="1" applyBorder="1" applyAlignment="1">
      <alignment wrapText="1"/>
    </xf>
    <xf numFmtId="168" fontId="51" fillId="0" borderId="1" xfId="0" applyNumberFormat="1" applyFont="1" applyBorder="1" applyAlignment="1">
      <alignment vertical="center"/>
    </xf>
    <xf numFmtId="166" fontId="52" fillId="0" borderId="1" xfId="0" applyNumberFormat="1" applyFont="1" applyBorder="1" applyAlignment="1">
      <alignment wrapText="1"/>
    </xf>
    <xf numFmtId="0" fontId="51" fillId="0" borderId="1" xfId="0" applyFont="1" applyBorder="1"/>
    <xf numFmtId="168" fontId="51" fillId="0" borderId="1" xfId="0" applyNumberFormat="1" applyFont="1" applyBorder="1"/>
    <xf numFmtId="0" fontId="22" fillId="0" borderId="25" xfId="0" applyFont="1" applyBorder="1"/>
    <xf numFmtId="0" fontId="28" fillId="0" borderId="31" xfId="0" applyFont="1" applyBorder="1"/>
    <xf numFmtId="0" fontId="18" fillId="0" borderId="1" xfId="0" applyFont="1" applyBorder="1"/>
    <xf numFmtId="165" fontId="18" fillId="0" borderId="1" xfId="0" applyNumberFormat="1" applyFont="1" applyBorder="1"/>
    <xf numFmtId="0" fontId="18" fillId="3" borderId="1" xfId="0" applyFont="1" applyFill="1" applyBorder="1"/>
    <xf numFmtId="165" fontId="18" fillId="3" borderId="1" xfId="0" applyNumberFormat="1" applyFont="1" applyFill="1" applyBorder="1"/>
    <xf numFmtId="9" fontId="37" fillId="2" borderId="1" xfId="0" applyNumberFormat="1" applyFont="1" applyFill="1" applyBorder="1" applyAlignment="1">
      <alignment horizontal="center"/>
    </xf>
    <xf numFmtId="9" fontId="37" fillId="2" borderId="12" xfId="0" applyNumberFormat="1" applyFont="1" applyFill="1" applyBorder="1" applyAlignment="1">
      <alignment horizontal="center"/>
    </xf>
    <xf numFmtId="0" fontId="2" fillId="0" borderId="1" xfId="0" applyFont="1" applyBorder="1"/>
    <xf numFmtId="0" fontId="53" fillId="0" borderId="31" xfId="0" applyFont="1" applyBorder="1"/>
    <xf numFmtId="0" fontId="47" fillId="7" borderId="0" xfId="3" applyFont="1" applyFill="1" applyBorder="1" applyAlignment="1">
      <alignment horizontal="center" vertical="center"/>
    </xf>
    <xf numFmtId="0" fontId="37" fillId="2" borderId="0" xfId="3" applyFont="1" applyFill="1" applyBorder="1" applyAlignment="1">
      <alignment horizontal="center" vertical="center"/>
    </xf>
    <xf numFmtId="165" fontId="3" fillId="8" borderId="0" xfId="0" quotePrefix="1" applyNumberFormat="1" applyFont="1" applyFill="1" applyAlignment="1">
      <alignment horizontal="center" vertical="center"/>
    </xf>
    <xf numFmtId="0" fontId="48" fillId="6" borderId="24" xfId="0" applyFont="1" applyFill="1" applyBorder="1" applyAlignment="1">
      <alignment horizontal="center" vertical="center"/>
    </xf>
    <xf numFmtId="0" fontId="48" fillId="6" borderId="26" xfId="0" applyFont="1" applyFill="1" applyBorder="1" applyAlignment="1">
      <alignment horizontal="center" vertical="center"/>
    </xf>
    <xf numFmtId="0" fontId="29" fillId="0" borderId="42" xfId="0" applyFont="1" applyBorder="1" applyAlignment="1">
      <alignment horizontal="center" vertical="top" wrapText="1"/>
    </xf>
    <xf numFmtId="0" fontId="17" fillId="0" borderId="1" xfId="0" applyFont="1" applyBorder="1" applyAlignment="1">
      <alignment horizontal="center" vertical="center" wrapText="1"/>
    </xf>
    <xf numFmtId="0" fontId="29" fillId="0" borderId="1" xfId="0" applyFont="1" applyBorder="1" applyAlignment="1">
      <alignment horizontal="center" vertical="top" wrapText="1"/>
    </xf>
    <xf numFmtId="170" fontId="37" fillId="2" borderId="1" xfId="0" applyNumberFormat="1" applyFont="1" applyFill="1" applyBorder="1" applyAlignment="1">
      <alignment horizontal="center" vertical="center"/>
    </xf>
    <xf numFmtId="2" fontId="37" fillId="2" borderId="1" xfId="0" applyNumberFormat="1" applyFont="1" applyFill="1" applyBorder="1" applyAlignment="1">
      <alignment horizontal="center" vertical="center"/>
    </xf>
    <xf numFmtId="9" fontId="37" fillId="15" borderId="42" xfId="0" applyNumberFormat="1" applyFont="1" applyFill="1" applyBorder="1" applyAlignment="1">
      <alignment horizontal="center" vertical="center"/>
    </xf>
    <xf numFmtId="9" fontId="37" fillId="8" borderId="42" xfId="0" applyNumberFormat="1" applyFont="1" applyFill="1" applyBorder="1" applyAlignment="1">
      <alignment horizontal="center" vertical="center"/>
    </xf>
    <xf numFmtId="0" fontId="37" fillId="0" borderId="1" xfId="0" applyFont="1" applyBorder="1" applyAlignment="1">
      <alignment horizontal="center" vertical="center" wrapText="1"/>
    </xf>
    <xf numFmtId="1" fontId="37" fillId="2" borderId="1" xfId="0" applyNumberFormat="1" applyFont="1" applyFill="1" applyBorder="1" applyAlignment="1">
      <alignment horizontal="center" vertical="center"/>
    </xf>
    <xf numFmtId="0" fontId="21" fillId="7" borderId="37" xfId="0" applyFont="1" applyFill="1" applyBorder="1" applyAlignment="1">
      <alignment horizontal="left" vertical="center" wrapText="1"/>
    </xf>
    <xf numFmtId="0" fontId="21" fillId="7" borderId="38" xfId="0" applyFont="1" applyFill="1" applyBorder="1" applyAlignment="1">
      <alignment horizontal="left" vertical="center" wrapText="1"/>
    </xf>
    <xf numFmtId="0" fontId="21" fillId="7" borderId="39" xfId="0" applyFont="1" applyFill="1" applyBorder="1" applyAlignment="1">
      <alignment horizontal="left" vertical="center" wrapText="1"/>
    </xf>
    <xf numFmtId="0" fontId="21" fillId="7" borderId="11" xfId="0" applyFont="1" applyFill="1" applyBorder="1" applyAlignment="1">
      <alignment horizontal="left"/>
    </xf>
    <xf numFmtId="0" fontId="21" fillId="7" borderId="20" xfId="0" applyFont="1" applyFill="1" applyBorder="1" applyAlignment="1">
      <alignment horizontal="left"/>
    </xf>
    <xf numFmtId="0" fontId="21" fillId="0" borderId="28" xfId="0" applyFont="1" applyBorder="1" applyAlignment="1">
      <alignment horizontal="left" vertical="center" wrapText="1"/>
    </xf>
    <xf numFmtId="0" fontId="21" fillId="0" borderId="10" xfId="0" applyFont="1" applyBorder="1" applyAlignment="1">
      <alignment horizontal="left" vertical="center" wrapText="1"/>
    </xf>
    <xf numFmtId="0" fontId="21" fillId="0" borderId="29" xfId="0" applyFont="1" applyBorder="1" applyAlignment="1">
      <alignment horizontal="left" vertical="center" wrapText="1"/>
    </xf>
    <xf numFmtId="0" fontId="6" fillId="0" borderId="27" xfId="0" applyFont="1" applyBorder="1" applyAlignment="1">
      <alignment horizontal="left" vertical="top" wrapText="1"/>
    </xf>
    <xf numFmtId="0" fontId="6" fillId="0" borderId="0" xfId="0" applyFont="1" applyAlignment="1">
      <alignment horizontal="left" vertical="top" wrapText="1"/>
    </xf>
    <xf numFmtId="0" fontId="6" fillId="0" borderId="11" xfId="0" applyFont="1" applyBorder="1" applyAlignment="1">
      <alignment horizontal="left" vertical="top"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0" xfId="0" applyFont="1" applyAlignment="1">
      <alignment horizontal="right" vertical="center" textRotation="90" wrapText="1"/>
    </xf>
    <xf numFmtId="0" fontId="7" fillId="0" borderId="0" xfId="0" applyFont="1" applyAlignment="1">
      <alignment horizontal="right" vertical="center" textRotation="90" wrapText="1"/>
    </xf>
    <xf numFmtId="0" fontId="7" fillId="0" borderId="0" xfId="0" applyFont="1" applyAlignment="1">
      <alignment horizontal="center"/>
    </xf>
    <xf numFmtId="0" fontId="31" fillId="0" borderId="27" xfId="0" applyFont="1" applyBorder="1" applyAlignment="1">
      <alignment horizontal="left" vertical="top" wrapText="1"/>
    </xf>
    <xf numFmtId="0" fontId="31" fillId="0" borderId="0" xfId="0" applyFont="1" applyAlignment="1">
      <alignment horizontal="left" vertical="top" wrapText="1"/>
    </xf>
    <xf numFmtId="0" fontId="0" fillId="0" borderId="25" xfId="0" applyBorder="1" applyAlignment="1">
      <alignment horizontal="left" vertical="top" wrapText="1"/>
    </xf>
    <xf numFmtId="0" fontId="13" fillId="0" borderId="0" xfId="0" applyFont="1" applyAlignment="1">
      <alignment horizontal="center"/>
    </xf>
    <xf numFmtId="0" fontId="12" fillId="0" borderId="0" xfId="0" applyFont="1" applyAlignment="1">
      <alignment horizontal="right" vertical="center" textRotation="90" wrapText="1"/>
    </xf>
    <xf numFmtId="0" fontId="6" fillId="0" borderId="0" xfId="0" applyFont="1" applyAlignment="1">
      <alignment horizontal="center"/>
    </xf>
    <xf numFmtId="0" fontId="12" fillId="0" borderId="0" xfId="0" applyFont="1" applyAlignment="1">
      <alignment horizontal="center"/>
    </xf>
    <xf numFmtId="0" fontId="8" fillId="0" borderId="1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7" xfId="0" applyFont="1" applyBorder="1" applyAlignment="1">
      <alignment horizontal="left" vertical="top" wrapText="1"/>
    </xf>
    <xf numFmtId="0" fontId="8" fillId="0" borderId="0" xfId="0" applyFont="1" applyAlignment="1">
      <alignment horizontal="left" vertical="top" wrapText="1"/>
    </xf>
  </cellXfs>
  <cellStyles count="4">
    <cellStyle name="Hyperlink" xfId="1" builtinId="8"/>
    <cellStyle name="Input" xfId="3" builtinId="20"/>
    <cellStyle name="Normal" xfId="0" builtinId="0"/>
    <cellStyle name="Normal 3" xfId="2" xr:uid="{34AADA14-1BAB-41D8-BA4D-E646571252AA}"/>
  </cellStyles>
  <dxfs count="11">
    <dxf>
      <font>
        <color rgb="FFC00000"/>
      </font>
    </dxf>
    <dxf>
      <font>
        <color rgb="FFC00000"/>
      </font>
    </dxf>
    <dxf>
      <font>
        <color rgb="FFC00000"/>
      </font>
    </dxf>
    <dxf>
      <font>
        <color rgb="FFC00000"/>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E7E6E6"/>
      <color rgb="FFDBA490"/>
      <color rgb="FF0000FF"/>
      <color rgb="FFCDD2B4"/>
      <color rgb="FF8B9FC2"/>
      <color rgb="FFBDD1E0"/>
      <color rgb="FFD2CDB4"/>
      <color rgb="FFCC3300"/>
      <color rgb="FFDCA591"/>
      <color rgb="FF8CA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Costs per Household</a:t>
            </a:r>
          </a:p>
        </c:rich>
      </c:tx>
      <c:layout>
        <c:manualLayout>
          <c:xMode val="edge"/>
          <c:yMode val="edge"/>
          <c:x val="0.26003112999830141"/>
          <c:y val="1.9943022627322067E-2"/>
        </c:manualLayout>
      </c:layout>
      <c:overlay val="0"/>
      <c:spPr>
        <a:noFill/>
        <a:ln>
          <a:noFill/>
        </a:ln>
        <a:effectLst/>
      </c:spPr>
      <c:txPr>
        <a:bodyPr rot="0" spcFirstLastPara="1" vertOverflow="ellipsis" vert="horz" wrap="square" anchor="ctr" anchorCtr="1"/>
        <a:lstStyle/>
        <a:p>
          <a:pPr algn="ct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solidFill>
                <a:srgbClr val="CDD2B4"/>
              </a:solidFill>
              <a:prstDash val="solid"/>
            </a:ln>
            <a:effectLst/>
          </c:spPr>
          <c:invertIfNegative val="0"/>
          <c:dPt>
            <c:idx val="0"/>
            <c:invertIfNegative val="0"/>
            <c:bubble3D val="0"/>
            <c:spPr>
              <a:solidFill>
                <a:srgbClr val="CDD2B4"/>
              </a:solidFill>
              <a:ln>
                <a:solidFill>
                  <a:srgbClr val="CDD2B4"/>
                </a:solidFill>
                <a:prstDash val="solid"/>
              </a:ln>
              <a:effectLst/>
            </c:spPr>
            <c:extLst>
              <c:ext xmlns:c16="http://schemas.microsoft.com/office/drawing/2014/chart" uri="{C3380CC4-5D6E-409C-BE32-E72D297353CC}">
                <c16:uniqueId val="{00000001-13C9-4472-8C0E-F8042224CB4F}"/>
              </c:ext>
            </c:extLst>
          </c:dPt>
          <c:dPt>
            <c:idx val="1"/>
            <c:invertIfNegative val="0"/>
            <c:bubble3D val="0"/>
            <c:spPr>
              <a:solidFill>
                <a:srgbClr val="CDD2B4"/>
              </a:solidFill>
              <a:ln>
                <a:solidFill>
                  <a:srgbClr val="CDD2B4"/>
                </a:solidFill>
                <a:prstDash val="solid"/>
              </a:ln>
              <a:effectLst/>
            </c:spPr>
            <c:extLst>
              <c:ext xmlns:c16="http://schemas.microsoft.com/office/drawing/2014/chart" uri="{C3380CC4-5D6E-409C-BE32-E72D297353CC}">
                <c16:uniqueId val="{00000003-13C9-4472-8C0E-F8042224CB4F}"/>
              </c:ext>
            </c:extLst>
          </c:dPt>
          <c:dPt>
            <c:idx val="2"/>
            <c:invertIfNegative val="0"/>
            <c:bubble3D val="0"/>
            <c:spPr>
              <a:solidFill>
                <a:srgbClr val="CDD2B4"/>
              </a:solidFill>
              <a:ln>
                <a:solidFill>
                  <a:srgbClr val="CDD2B4"/>
                </a:solidFill>
                <a:prstDash val="solid"/>
              </a:ln>
              <a:effectLst/>
            </c:spPr>
            <c:extLst>
              <c:ext xmlns:c16="http://schemas.microsoft.com/office/drawing/2014/chart" uri="{C3380CC4-5D6E-409C-BE32-E72D297353CC}">
                <c16:uniqueId val="{00000005-13C9-4472-8C0E-F8042224CB4F}"/>
              </c:ext>
            </c:extLst>
          </c:dPt>
          <c:dPt>
            <c:idx val="3"/>
            <c:invertIfNegative val="0"/>
            <c:bubble3D val="0"/>
            <c:spPr>
              <a:solidFill>
                <a:srgbClr val="DCA591"/>
              </a:solidFill>
              <a:ln>
                <a:solidFill>
                  <a:srgbClr val="CDD2B4"/>
                </a:solidFill>
                <a:prstDash val="solid"/>
              </a:ln>
              <a:effectLst/>
            </c:spPr>
            <c:extLst>
              <c:ext xmlns:c16="http://schemas.microsoft.com/office/drawing/2014/chart" uri="{C3380CC4-5D6E-409C-BE32-E72D297353CC}">
                <c16:uniqueId val="{00000007-8860-46AF-86E6-D16C7FE95816}"/>
              </c:ext>
            </c:extLst>
          </c:dPt>
          <c:dPt>
            <c:idx val="4"/>
            <c:invertIfNegative val="0"/>
            <c:bubble3D val="0"/>
            <c:spPr>
              <a:solidFill>
                <a:srgbClr val="8CA0C3"/>
              </a:solidFill>
              <a:ln>
                <a:solidFill>
                  <a:srgbClr val="CDD2B4"/>
                </a:solidFill>
                <a:prstDash val="solid"/>
              </a:ln>
              <a:effectLst/>
            </c:spPr>
            <c:extLst>
              <c:ext xmlns:c16="http://schemas.microsoft.com/office/drawing/2014/chart" uri="{C3380CC4-5D6E-409C-BE32-E72D297353CC}">
                <c16:uniqueId val="{00000009-8860-46AF-86E6-D16C7FE95816}"/>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Summary!$B$53:$B$57</c:f>
              <c:strCache>
                <c:ptCount val="5"/>
                <c:pt idx="0">
                  <c:v>PV per HH C19</c:v>
                </c:pt>
                <c:pt idx="1">
                  <c:v>PV per HH C20</c:v>
                </c:pt>
                <c:pt idx="2">
                  <c:v>PV per HH combined</c:v>
                </c:pt>
                <c:pt idx="3">
                  <c:v>Costs per HH</c:v>
                </c:pt>
                <c:pt idx="4">
                  <c:v>NPV per HH</c:v>
                </c:pt>
              </c:strCache>
            </c:strRef>
          </c:cat>
          <c:val>
            <c:numRef>
              <c:f>Summary!$C$53:$C$57</c:f>
              <c:numCache>
                <c:formatCode>#,##0\ "€"</c:formatCode>
                <c:ptCount val="5"/>
                <c:pt idx="0">
                  <c:v>39.210433663691276</c:v>
                </c:pt>
                <c:pt idx="1">
                  <c:v>70.929463594562591</c:v>
                </c:pt>
                <c:pt idx="2">
                  <c:v>54.265041402920204</c:v>
                </c:pt>
                <c:pt idx="3">
                  <c:v>40.61897900619693</c:v>
                </c:pt>
                <c:pt idx="4">
                  <c:v>13.646062396723273</c:v>
                </c:pt>
              </c:numCache>
            </c:numRef>
          </c:val>
          <c:extLst>
            <c:ext xmlns:c16="http://schemas.microsoft.com/office/drawing/2014/chart" uri="{C3380CC4-5D6E-409C-BE32-E72D297353CC}">
              <c16:uniqueId val="{00000006-13C9-4472-8C0E-F8042224CB4F}"/>
            </c:ext>
          </c:extLst>
        </c:ser>
        <c:dLbls>
          <c:showLegendKey val="0"/>
          <c:showVal val="0"/>
          <c:showCatName val="0"/>
          <c:showSerName val="0"/>
          <c:showPercent val="0"/>
          <c:showBubbleSize val="0"/>
        </c:dLbls>
        <c:gapWidth val="100"/>
        <c:overlap val="-27"/>
        <c:axId val="412146792"/>
        <c:axId val="412147152"/>
      </c:barChart>
      <c:catAx>
        <c:axId val="412146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412147152"/>
        <c:crosses val="autoZero"/>
        <c:auto val="1"/>
        <c:lblAlgn val="ctr"/>
        <c:lblOffset val="100"/>
        <c:noMultiLvlLbl val="0"/>
      </c:catAx>
      <c:valAx>
        <c:axId val="412147152"/>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412146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Share of Project Component in</a:t>
            </a:r>
          </a:p>
          <a:p>
            <a:pPr>
              <a:defRPr b="1"/>
            </a:pPr>
            <a:r>
              <a:rPr lang="en-US" b="1"/>
              <a:t>Total Present Value per Household</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barChart>
        <c:barDir val="col"/>
        <c:grouping val="stacked"/>
        <c:varyColors val="0"/>
        <c:ser>
          <c:idx val="0"/>
          <c:order val="0"/>
          <c:tx>
            <c:strRef>
              <c:f>Summary!$E$54</c:f>
              <c:strCache>
                <c:ptCount val="1"/>
                <c:pt idx="0">
                  <c:v>GAPs besides Stumping</c:v>
                </c:pt>
              </c:strCache>
            </c:strRef>
          </c:tx>
          <c:spPr>
            <a:solidFill>
              <a:srgbClr val="CDD2B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Summary!$F$53:$G$53</c:f>
              <c:strCache>
                <c:ptCount val="2"/>
                <c:pt idx="0">
                  <c:v>C19</c:v>
                </c:pt>
                <c:pt idx="1">
                  <c:v>C20</c:v>
                </c:pt>
              </c:strCache>
            </c:strRef>
          </c:cat>
          <c:val>
            <c:numRef>
              <c:f>Summary!$F$54:$G$54</c:f>
              <c:numCache>
                <c:formatCode>#,##0\ "€"</c:formatCode>
                <c:ptCount val="2"/>
                <c:pt idx="0">
                  <c:v>12.030550874162508</c:v>
                </c:pt>
                <c:pt idx="1">
                  <c:v>7.4132869523024265</c:v>
                </c:pt>
              </c:numCache>
            </c:numRef>
          </c:val>
          <c:extLst>
            <c:ext xmlns:c16="http://schemas.microsoft.com/office/drawing/2014/chart" uri="{C3380CC4-5D6E-409C-BE32-E72D297353CC}">
              <c16:uniqueId val="{00000000-4F93-4984-9807-3776BF58F56A}"/>
            </c:ext>
          </c:extLst>
        </c:ser>
        <c:ser>
          <c:idx val="1"/>
          <c:order val="1"/>
          <c:tx>
            <c:strRef>
              <c:f>Summary!$E$55</c:f>
              <c:strCache>
                <c:ptCount val="1"/>
                <c:pt idx="0">
                  <c:v>Stumping</c:v>
                </c:pt>
              </c:strCache>
            </c:strRef>
          </c:tx>
          <c:spPr>
            <a:solidFill>
              <a:srgbClr val="8CA0C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Summary!$F$53:$G$53</c:f>
              <c:strCache>
                <c:ptCount val="2"/>
                <c:pt idx="0">
                  <c:v>C19</c:v>
                </c:pt>
                <c:pt idx="1">
                  <c:v>C20</c:v>
                </c:pt>
              </c:strCache>
            </c:strRef>
          </c:cat>
          <c:val>
            <c:numRef>
              <c:f>Summary!$F$55:$G$55</c:f>
              <c:numCache>
                <c:formatCode>#,##0\ "€"</c:formatCode>
                <c:ptCount val="2"/>
                <c:pt idx="0">
                  <c:v>27.179882789528772</c:v>
                </c:pt>
                <c:pt idx="1">
                  <c:v>63.516176642260163</c:v>
                </c:pt>
              </c:numCache>
            </c:numRef>
          </c:val>
          <c:extLst>
            <c:ext xmlns:c16="http://schemas.microsoft.com/office/drawing/2014/chart" uri="{C3380CC4-5D6E-409C-BE32-E72D297353CC}">
              <c16:uniqueId val="{00000001-4F93-4984-9807-3776BF58F56A}"/>
            </c:ext>
          </c:extLst>
        </c:ser>
        <c:dLbls>
          <c:showLegendKey val="0"/>
          <c:showVal val="0"/>
          <c:showCatName val="0"/>
          <c:showSerName val="0"/>
          <c:showPercent val="0"/>
          <c:showBubbleSize val="0"/>
        </c:dLbls>
        <c:gapWidth val="150"/>
        <c:overlap val="100"/>
        <c:axId val="1164210496"/>
        <c:axId val="1164213016"/>
      </c:barChart>
      <c:catAx>
        <c:axId val="11642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1164213016"/>
        <c:crosses val="autoZero"/>
        <c:auto val="1"/>
        <c:lblAlgn val="ctr"/>
        <c:lblOffset val="100"/>
        <c:noMultiLvlLbl val="0"/>
      </c:catAx>
      <c:valAx>
        <c:axId val="1164213016"/>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116421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 </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8644874805631882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CA591"/>
              </a:solidFill>
              <a:ln>
                <a:noFill/>
              </a:ln>
              <a:effectLst/>
            </c:spPr>
            <c:extLst>
              <c:ext xmlns:c16="http://schemas.microsoft.com/office/drawing/2014/chart" uri="{C3380CC4-5D6E-409C-BE32-E72D297353CC}">
                <c16:uniqueId val="{00000001-2E71-40F4-99AD-220D2CD477D9}"/>
              </c:ext>
            </c:extLst>
          </c:dPt>
          <c:dPt>
            <c:idx val="1"/>
            <c:invertIfNegative val="0"/>
            <c:bubble3D val="0"/>
            <c:spPr>
              <a:solidFill>
                <a:srgbClr val="CDD2B4"/>
              </a:solidFill>
              <a:ln>
                <a:noFill/>
              </a:ln>
              <a:effectLst/>
            </c:spPr>
            <c:extLst>
              <c:ext xmlns:c16="http://schemas.microsoft.com/office/drawing/2014/chart" uri="{C3380CC4-5D6E-409C-BE32-E72D297353CC}">
                <c16:uniqueId val="{00000003-2E71-40F4-99AD-220D2CD477D9}"/>
              </c:ext>
            </c:extLst>
          </c:dPt>
          <c:dPt>
            <c:idx val="2"/>
            <c:invertIfNegative val="0"/>
            <c:bubble3D val="0"/>
            <c:spPr>
              <a:solidFill>
                <a:srgbClr val="8CA0C3"/>
              </a:solidFill>
              <a:ln>
                <a:noFill/>
              </a:ln>
              <a:effectLst/>
            </c:spPr>
            <c:extLst>
              <c:ext xmlns:c16="http://schemas.microsoft.com/office/drawing/2014/chart" uri="{C3380CC4-5D6E-409C-BE32-E72D297353CC}">
                <c16:uniqueId val="{00000005-2E71-40F4-99AD-220D2CD477D9}"/>
              </c:ext>
            </c:extLst>
          </c:dPt>
          <c:dPt>
            <c:idx val="3"/>
            <c:invertIfNegative val="0"/>
            <c:bubble3D val="0"/>
            <c:spPr>
              <a:solidFill>
                <a:srgbClr val="DCA591"/>
              </a:solidFill>
              <a:ln>
                <a:noFill/>
              </a:ln>
              <a:effectLst/>
            </c:spPr>
            <c:extLst>
              <c:ext xmlns:c16="http://schemas.microsoft.com/office/drawing/2014/chart" uri="{C3380CC4-5D6E-409C-BE32-E72D297353CC}">
                <c16:uniqueId val="{00000007-2E71-40F4-99AD-220D2CD477D9}"/>
              </c:ext>
            </c:extLst>
          </c:dPt>
          <c:dPt>
            <c:idx val="4"/>
            <c:invertIfNegative val="0"/>
            <c:bubble3D val="0"/>
            <c:spPr>
              <a:solidFill>
                <a:srgbClr val="CDD2B4"/>
              </a:solidFill>
              <a:ln>
                <a:noFill/>
              </a:ln>
              <a:effectLst/>
            </c:spPr>
            <c:extLst>
              <c:ext xmlns:c16="http://schemas.microsoft.com/office/drawing/2014/chart" uri="{C3380CC4-5D6E-409C-BE32-E72D297353CC}">
                <c16:uniqueId val="{00000009-2E71-40F4-99AD-220D2CD477D9}"/>
              </c:ext>
            </c:extLst>
          </c:dPt>
          <c:dPt>
            <c:idx val="5"/>
            <c:invertIfNegative val="0"/>
            <c:bubble3D val="0"/>
            <c:spPr>
              <a:solidFill>
                <a:srgbClr val="8CA0C3"/>
              </a:solidFill>
              <a:ln>
                <a:noFill/>
              </a:ln>
              <a:effectLst/>
            </c:spPr>
            <c:extLst>
              <c:ext xmlns:c16="http://schemas.microsoft.com/office/drawing/2014/chart" uri="{C3380CC4-5D6E-409C-BE32-E72D297353CC}">
                <c16:uniqueId val="{0000000B-2E71-40F4-99AD-220D2CD477D9}"/>
              </c:ext>
            </c:extLst>
          </c:dPt>
          <c:dPt>
            <c:idx val="6"/>
            <c:invertIfNegative val="0"/>
            <c:bubble3D val="0"/>
            <c:spPr>
              <a:solidFill>
                <a:srgbClr val="DCA591"/>
              </a:solidFill>
              <a:ln>
                <a:noFill/>
              </a:ln>
              <a:effectLst/>
            </c:spPr>
            <c:extLst>
              <c:ext xmlns:c16="http://schemas.microsoft.com/office/drawing/2014/chart" uri="{C3380CC4-5D6E-409C-BE32-E72D297353CC}">
                <c16:uniqueId val="{0000000D-2E71-40F4-99AD-220D2CD477D9}"/>
              </c:ext>
            </c:extLst>
          </c:dPt>
          <c:dPt>
            <c:idx val="7"/>
            <c:invertIfNegative val="0"/>
            <c:bubble3D val="0"/>
            <c:spPr>
              <a:solidFill>
                <a:srgbClr val="CDD2B4"/>
              </a:solidFill>
              <a:ln>
                <a:noFill/>
              </a:ln>
              <a:effectLst/>
            </c:spPr>
            <c:extLst>
              <c:ext xmlns:c16="http://schemas.microsoft.com/office/drawing/2014/chart" uri="{C3380CC4-5D6E-409C-BE32-E72D297353CC}">
                <c16:uniqueId val="{0000000F-2E71-40F4-99AD-220D2CD477D9}"/>
              </c:ext>
            </c:extLst>
          </c:dPt>
          <c:dPt>
            <c:idx val="8"/>
            <c:invertIfNegative val="0"/>
            <c:bubble3D val="0"/>
            <c:spPr>
              <a:solidFill>
                <a:srgbClr val="8CA0C3"/>
              </a:solidFill>
              <a:ln>
                <a:noFill/>
              </a:ln>
              <a:effectLst/>
            </c:spPr>
            <c:extLst>
              <c:ext xmlns:c16="http://schemas.microsoft.com/office/drawing/2014/chart" uri="{C3380CC4-5D6E-409C-BE32-E72D297353CC}">
                <c16:uniqueId val="{00000011-2E71-40F4-99AD-220D2CD477D9}"/>
              </c:ext>
            </c:extLst>
          </c:dPt>
          <c:dLbls>
            <c:dLbl>
              <c:idx val="5"/>
              <c:layout>
                <c:manualLayout>
                  <c:x val="1.0797969981642659E-3"/>
                  <c:y val="5.359663468725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E71-40F4-99AD-220D2CD477D9}"/>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Summary!$B$72:$C$80</c:f>
              <c:multiLvlStrCache>
                <c:ptCount val="9"/>
                <c:lvl>
                  <c:pt idx="0">
                    <c:v>Project Costs discounted (in 2021 EUR)</c:v>
                  </c:pt>
                  <c:pt idx="1">
                    <c:v>Present Value (in 2021 EUR)</c:v>
                  </c:pt>
                  <c:pt idx="2">
                    <c:v>Net Present Value (in 2021 EUR)</c:v>
                  </c:pt>
                  <c:pt idx="3">
                    <c:v>Project Costs discounted (in 2021 EUR)</c:v>
                  </c:pt>
                  <c:pt idx="4">
                    <c:v>Present Value (in 2021 EUR)</c:v>
                  </c:pt>
                  <c:pt idx="5">
                    <c:v>Net Present Value (in 2021 EUR)</c:v>
                  </c:pt>
                  <c:pt idx="6">
                    <c:v>Project Costs discounted (in 2021 EUR)</c:v>
                  </c:pt>
                  <c:pt idx="7">
                    <c:v>Present Value (in 2021 EUR)</c:v>
                  </c:pt>
                  <c:pt idx="8">
                    <c:v>Net Present Value (in 2021 EUR)</c:v>
                  </c:pt>
                </c:lvl>
                <c:lvl>
                  <c:pt idx="0">
                    <c:v>C2019</c:v>
                  </c:pt>
                  <c:pt idx="3">
                    <c:v>C2020</c:v>
                  </c:pt>
                  <c:pt idx="6">
                    <c:v>Total</c:v>
                  </c:pt>
                </c:lvl>
              </c:multiLvlStrCache>
            </c:multiLvlStrRef>
          </c:cat>
          <c:val>
            <c:numRef>
              <c:f>Summary!$D$72:$D$80</c:f>
              <c:numCache>
                <c:formatCode>#,##0\ "€"</c:formatCode>
                <c:ptCount val="9"/>
                <c:pt idx="0">
                  <c:v>669220.98053689278</c:v>
                </c:pt>
                <c:pt idx="1">
                  <c:v>873490.83072605054</c:v>
                </c:pt>
                <c:pt idx="2">
                  <c:v>204269.85018915776</c:v>
                </c:pt>
                <c:pt idx="3">
                  <c:v>1270700.8378200664</c:v>
                </c:pt>
                <c:pt idx="4">
                  <c:v>1427455.4548405721</c:v>
                </c:pt>
                <c:pt idx="5">
                  <c:v>156754.61702050571</c:v>
                </c:pt>
                <c:pt idx="6">
                  <c:v>1939921.8183569591</c:v>
                </c:pt>
                <c:pt idx="7">
                  <c:v>2300946.2855666224</c:v>
                </c:pt>
                <c:pt idx="8">
                  <c:v>361024.46720966324</c:v>
                </c:pt>
              </c:numCache>
            </c:numRef>
          </c:val>
          <c:extLst>
            <c:ext xmlns:c16="http://schemas.microsoft.com/office/drawing/2014/chart" uri="{C3380CC4-5D6E-409C-BE32-E72D297353CC}">
              <c16:uniqueId val="{00000012-2E71-40F4-99AD-220D2CD477D9}"/>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a:solidFill>
                  <a:sysClr val="windowText" lastClr="000000"/>
                </a:solidFill>
                <a:latin typeface="Pero" panose="020F0506020203030304" pitchFamily="34" charset="0"/>
              </a:rPr>
              <a:t>SROI under different discount rates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'Sensitivity analysis'!$C$15</c:f>
              <c:strCache>
                <c:ptCount val="1"/>
                <c:pt idx="0">
                  <c:v>SROI</c:v>
                </c:pt>
              </c:strCache>
            </c:strRef>
          </c:tx>
          <c:spPr>
            <a:solidFill>
              <a:srgbClr val="BDD1E0"/>
            </a:solidFill>
            <a:ln>
              <a:noFill/>
            </a:ln>
            <a:effectLst/>
          </c:spPr>
          <c:invertIfNegative val="0"/>
          <c:dPt>
            <c:idx val="2"/>
            <c:invertIfNegative val="0"/>
            <c:bubble3D val="0"/>
            <c:spPr>
              <a:solidFill>
                <a:srgbClr val="8B9FC2"/>
              </a:solidFill>
              <a:ln>
                <a:noFill/>
              </a:ln>
              <a:effectLst/>
            </c:spPr>
            <c:extLst>
              <c:ext xmlns:c16="http://schemas.microsoft.com/office/drawing/2014/chart" uri="{C3380CC4-5D6E-409C-BE32-E72D297353CC}">
                <c16:uniqueId val="{00000002-D462-40DC-B08E-5058BE60F9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analysis'!$B$16:$B$19</c:f>
              <c:numCache>
                <c:formatCode>General</c:formatCode>
                <c:ptCount val="4"/>
                <c:pt idx="0">
                  <c:v>0</c:v>
                </c:pt>
                <c:pt idx="1">
                  <c:v>0.05</c:v>
                </c:pt>
                <c:pt idx="2">
                  <c:v>0.1</c:v>
                </c:pt>
                <c:pt idx="3">
                  <c:v>0.15</c:v>
                </c:pt>
              </c:numCache>
            </c:numRef>
          </c:cat>
          <c:val>
            <c:numRef>
              <c:f>'Sensitivity analysis'!$C$16:$C$19</c:f>
              <c:numCache>
                <c:formatCode>0.0</c:formatCode>
                <c:ptCount val="4"/>
                <c:pt idx="0">
                  <c:v>1.93</c:v>
                </c:pt>
                <c:pt idx="1">
                  <c:v>1.5</c:v>
                </c:pt>
                <c:pt idx="2">
                  <c:v>1.18</c:v>
                </c:pt>
                <c:pt idx="3">
                  <c:v>0.95</c:v>
                </c:pt>
              </c:numCache>
            </c:numRef>
          </c:val>
          <c:extLst>
            <c:ext xmlns:c16="http://schemas.microsoft.com/office/drawing/2014/chart" uri="{C3380CC4-5D6E-409C-BE32-E72D297353CC}">
              <c16:uniqueId val="{00000000-D462-40DC-B08E-5058BE60F9C0}"/>
            </c:ext>
          </c:extLst>
        </c:ser>
        <c:dLbls>
          <c:dLblPos val="outEnd"/>
          <c:showLegendKey val="0"/>
          <c:showVal val="1"/>
          <c:showCatName val="0"/>
          <c:showSerName val="0"/>
          <c:showPercent val="0"/>
          <c:showBubbleSize val="0"/>
        </c:dLbls>
        <c:gapWidth val="182"/>
        <c:axId val="1512825952"/>
        <c:axId val="1512826672"/>
      </c:barChart>
      <c:catAx>
        <c:axId val="15128259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Discount</a:t>
                </a:r>
                <a:r>
                  <a:rPr lang="en-US" baseline="0">
                    <a:solidFill>
                      <a:sysClr val="windowText" lastClr="000000"/>
                    </a:solidFill>
                    <a:latin typeface="Pero" panose="020F0506020203030304" pitchFamily="34" charset="0"/>
                  </a:rPr>
                  <a:t> rate</a:t>
                </a:r>
                <a:endParaRPr lang="en-US">
                  <a:solidFill>
                    <a:sysClr val="windowText" lastClr="000000"/>
                  </a:solidFill>
                  <a:latin typeface="Pero" panose="020F05060202030303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1512826672"/>
        <c:crosses val="autoZero"/>
        <c:auto val="1"/>
        <c:lblAlgn val="ctr"/>
        <c:lblOffset val="100"/>
        <c:noMultiLvlLbl val="0"/>
      </c:catAx>
      <c:valAx>
        <c:axId val="1512826672"/>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a:solidFill>
                      <a:sysClr val="windowText" lastClr="000000"/>
                    </a:solidFill>
                    <a:latin typeface="Pero" panose="020F0506020203030304" pitchFamily="34" charset="0"/>
                  </a:rPr>
                  <a:t>SROI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crossAx val="1512825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100">
                <a:solidFill>
                  <a:sysClr val="windowText" lastClr="000000"/>
                </a:solidFill>
                <a:latin typeface="Pero" panose="020F0506020203030304" pitchFamily="34" charset="0"/>
              </a:rPr>
              <a:t>SROI with different non-implementation cost shares deducted from total grant amount</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0"/>
          <c:tx>
            <c:v>SROI</c:v>
          </c:tx>
          <c:spPr>
            <a:solidFill>
              <a:srgbClr val="4472C4"/>
            </a:solidFill>
            <a:ln>
              <a:noFill/>
            </a:ln>
            <a:effectLst/>
          </c:spPr>
          <c:invertIfNegative val="0"/>
          <c:dPt>
            <c:idx val="0"/>
            <c:invertIfNegative val="0"/>
            <c:bubble3D val="0"/>
            <c:spPr>
              <a:solidFill>
                <a:srgbClr val="BDD1E0"/>
              </a:solidFill>
              <a:ln>
                <a:noFill/>
              </a:ln>
              <a:effectLst/>
            </c:spPr>
            <c:extLst>
              <c:ext xmlns:c16="http://schemas.microsoft.com/office/drawing/2014/chart" uri="{C3380CC4-5D6E-409C-BE32-E72D297353CC}">
                <c16:uniqueId val="{00000004-08C8-43D7-828F-59CDF6EBC634}"/>
              </c:ext>
            </c:extLst>
          </c:dPt>
          <c:dPt>
            <c:idx val="1"/>
            <c:invertIfNegative val="0"/>
            <c:bubble3D val="0"/>
            <c:spPr>
              <a:solidFill>
                <a:srgbClr val="BDD1E0"/>
              </a:solidFill>
              <a:ln>
                <a:noFill/>
              </a:ln>
              <a:effectLst/>
            </c:spPr>
            <c:extLst>
              <c:ext xmlns:c16="http://schemas.microsoft.com/office/drawing/2014/chart" uri="{C3380CC4-5D6E-409C-BE32-E72D297353CC}">
                <c16:uniqueId val="{00000003-08C8-43D7-828F-59CDF6EBC634}"/>
              </c:ext>
            </c:extLst>
          </c:dPt>
          <c:dPt>
            <c:idx val="2"/>
            <c:invertIfNegative val="0"/>
            <c:bubble3D val="0"/>
            <c:spPr>
              <a:solidFill>
                <a:srgbClr val="8B9FC2"/>
              </a:solidFill>
              <a:ln>
                <a:noFill/>
              </a:ln>
              <a:effectLst/>
            </c:spPr>
            <c:extLst>
              <c:ext xmlns:c16="http://schemas.microsoft.com/office/drawing/2014/chart" uri="{C3380CC4-5D6E-409C-BE32-E72D297353CC}">
                <c16:uniqueId val="{00000002-08C8-43D7-828F-59CDF6EBC6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analysis'!$E$16:$E$18</c:f>
              <c:numCache>
                <c:formatCode>0%</c:formatCode>
                <c:ptCount val="3"/>
                <c:pt idx="0">
                  <c:v>0</c:v>
                </c:pt>
                <c:pt idx="1">
                  <c:v>0.1</c:v>
                </c:pt>
                <c:pt idx="2">
                  <c:v>0.17</c:v>
                </c:pt>
              </c:numCache>
            </c:numRef>
          </c:cat>
          <c:val>
            <c:numRef>
              <c:f>'Sensitivity analysis'!$L$16:$L$18</c:f>
              <c:numCache>
                <c:formatCode>General</c:formatCode>
                <c:ptCount val="3"/>
                <c:pt idx="0">
                  <c:v>0.98</c:v>
                </c:pt>
                <c:pt idx="1">
                  <c:v>1.0900000000000001</c:v>
                </c:pt>
                <c:pt idx="2">
                  <c:v>1.18</c:v>
                </c:pt>
              </c:numCache>
            </c:numRef>
          </c:val>
          <c:extLst>
            <c:ext xmlns:c16="http://schemas.microsoft.com/office/drawing/2014/chart" uri="{C3380CC4-5D6E-409C-BE32-E72D297353CC}">
              <c16:uniqueId val="{00000001-08C8-43D7-828F-59CDF6EBC634}"/>
            </c:ext>
          </c:extLst>
        </c:ser>
        <c:dLbls>
          <c:dLblPos val="outEnd"/>
          <c:showLegendKey val="0"/>
          <c:showVal val="1"/>
          <c:showCatName val="0"/>
          <c:showSerName val="0"/>
          <c:showPercent val="0"/>
          <c:showBubbleSize val="0"/>
        </c:dLbls>
        <c:gapWidth val="182"/>
        <c:axId val="454626488"/>
        <c:axId val="454627568"/>
      </c:barChart>
      <c:catAx>
        <c:axId val="45462648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Non-implementation cost share</a:t>
                </a:r>
              </a:p>
            </c:rich>
          </c:tx>
          <c:layout>
            <c:manualLayout>
              <c:xMode val="edge"/>
              <c:yMode val="edge"/>
              <c:x val="3.0466694363661544E-2"/>
              <c:y val="0.2821714686082316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4627568"/>
        <c:crosses val="autoZero"/>
        <c:auto val="1"/>
        <c:lblAlgn val="ctr"/>
        <c:lblOffset val="100"/>
        <c:noMultiLvlLbl val="0"/>
      </c:catAx>
      <c:valAx>
        <c:axId val="454627568"/>
        <c:scaling>
          <c:orientation val="minMax"/>
          <c:max val="1.3"/>
          <c:min val="0.9"/>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SROI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454626488"/>
        <c:crosses val="autoZero"/>
        <c:crossBetween val="between"/>
      </c:valAx>
      <c:spPr>
        <a:solidFill>
          <a:srgbClr val="FFFFFF"/>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215265</xdr:colOff>
      <xdr:row>50</xdr:row>
      <xdr:rowOff>72474</xdr:rowOff>
    </xdr:from>
    <xdr:to>
      <xdr:col>3</xdr:col>
      <xdr:colOff>329922</xdr:colOff>
      <xdr:row>67</xdr:row>
      <xdr:rowOff>155872</xdr:rowOff>
    </xdr:to>
    <xdr:graphicFrame macro="">
      <xdr:nvGraphicFramePr>
        <xdr:cNvPr id="9" name="Chart 3">
          <a:extLst>
            <a:ext uri="{FF2B5EF4-FFF2-40B4-BE49-F238E27FC236}">
              <a16:creationId xmlns:a16="http://schemas.microsoft.com/office/drawing/2014/main" id="{40512566-B64A-4D08-B4CE-10FBDE921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532883</xdr:colOff>
      <xdr:row>50</xdr:row>
      <xdr:rowOff>91523</xdr:rowOff>
    </xdr:from>
    <xdr:to>
      <xdr:col>7</xdr:col>
      <xdr:colOff>1117415</xdr:colOff>
      <xdr:row>68</xdr:row>
      <xdr:rowOff>3361</xdr:rowOff>
    </xdr:to>
    <xdr:graphicFrame macro="">
      <xdr:nvGraphicFramePr>
        <xdr:cNvPr id="5" name="Chart 4">
          <a:extLst>
            <a:ext uri="{FF2B5EF4-FFF2-40B4-BE49-F238E27FC236}">
              <a16:creationId xmlns:a16="http://schemas.microsoft.com/office/drawing/2014/main" id="{8619B4B5-EBE7-4F05-99EA-490991C66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295273</xdr:colOff>
      <xdr:row>68</xdr:row>
      <xdr:rowOff>169183</xdr:rowOff>
    </xdr:from>
    <xdr:to>
      <xdr:col>7</xdr:col>
      <xdr:colOff>1199443</xdr:colOff>
      <xdr:row>91</xdr:row>
      <xdr:rowOff>53630</xdr:rowOff>
    </xdr:to>
    <xdr:graphicFrame macro="">
      <xdr:nvGraphicFramePr>
        <xdr:cNvPr id="10" name="Chart 5">
          <a:extLst>
            <a:ext uri="{FF2B5EF4-FFF2-40B4-BE49-F238E27FC236}">
              <a16:creationId xmlns:a16="http://schemas.microsoft.com/office/drawing/2014/main" id="{B1962F81-97AE-4843-AF9A-0E213EAFA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95853</xdr:colOff>
      <xdr:row>4</xdr:row>
      <xdr:rowOff>59036</xdr:rowOff>
    </xdr:from>
    <xdr:to>
      <xdr:col>7</xdr:col>
      <xdr:colOff>1945317</xdr:colOff>
      <xdr:row>16</xdr:row>
      <xdr:rowOff>819150</xdr:rowOff>
    </xdr:to>
    <xdr:sp macro="" textlink="">
      <xdr:nvSpPr>
        <xdr:cNvPr id="6" name="TextBox 2">
          <a:extLst>
            <a:ext uri="{FF2B5EF4-FFF2-40B4-BE49-F238E27FC236}">
              <a16:creationId xmlns:a16="http://schemas.microsoft.com/office/drawing/2014/main" id="{C76E1896-9A37-498A-85B4-46A3FE903668}"/>
            </a:ext>
          </a:extLst>
        </xdr:cNvPr>
        <xdr:cNvSpPr txBox="1"/>
      </xdr:nvSpPr>
      <xdr:spPr>
        <a:xfrm>
          <a:off x="7087203" y="1059161"/>
          <a:ext cx="5554689" cy="3074689"/>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The model </a:t>
          </a:r>
          <a:r>
            <a:rPr lang="en-US" sz="1000" b="1">
              <a:solidFill>
                <a:schemeClr val="dk1"/>
              </a:solidFill>
              <a:effectLst/>
              <a:latin typeface="Pero" panose="020F0506020203030304" pitchFamily="34" charset="0"/>
              <a:ea typeface="+mn-ea"/>
              <a:cs typeface="+mn-cs"/>
            </a:rPr>
            <a:t>compares the estimated total benefits of </a:t>
          </a:r>
          <a:r>
            <a:rPr lang="en-US" sz="1000" b="1" baseline="0">
              <a:solidFill>
                <a:schemeClr val="dk1"/>
              </a:solidFill>
              <a:effectLst/>
              <a:latin typeface="Pero" panose="020F0506020203030304" pitchFamily="34" charset="0"/>
              <a:ea typeface="+mn-ea"/>
              <a:cs typeface="+mn-cs"/>
            </a:rPr>
            <a:t>2.3M</a:t>
          </a:r>
          <a:r>
            <a:rPr lang="en-US" sz="1000" b="1">
              <a:solidFill>
                <a:schemeClr val="dk1"/>
              </a:solidFill>
              <a:effectLst/>
              <a:latin typeface="Pero" panose="020F0506020203030304" pitchFamily="34" charset="0"/>
              <a:ea typeface="+mn-ea"/>
              <a:cs typeface="+mn-cs"/>
            </a:rPr>
            <a:t> EUR with the implementation costs of 1.9M</a:t>
          </a:r>
          <a:r>
            <a:rPr lang="en-US" sz="1000" b="1" baseline="0">
              <a:solidFill>
                <a:schemeClr val="dk1"/>
              </a:solidFill>
              <a:effectLst/>
              <a:latin typeface="Pero" panose="020F0506020203030304" pitchFamily="34" charset="0"/>
              <a:ea typeface="+mn-ea"/>
              <a:cs typeface="+mn-cs"/>
            </a:rPr>
            <a:t> EUR </a:t>
          </a:r>
          <a:r>
            <a:rPr lang="en-US" sz="1000">
              <a:solidFill>
                <a:schemeClr val="dk1"/>
              </a:solidFill>
              <a:effectLst/>
              <a:latin typeface="Pero" panose="020F0506020203030304" pitchFamily="34" charset="0"/>
              <a:ea typeface="+mn-ea"/>
              <a:cs typeface="+mn-cs"/>
            </a:rPr>
            <a:t>(</a:t>
          </a:r>
          <a:r>
            <a:rPr lang="en-US" sz="1000" b="0" i="0" baseline="0">
              <a:solidFill>
                <a:schemeClr val="dk1"/>
              </a:solidFill>
              <a:effectLst/>
              <a:latin typeface="Pero" panose="020F0506020203030304" pitchFamily="34" charset="0"/>
              <a:ea typeface="+mn-ea"/>
              <a:cs typeface="+mn-cs"/>
            </a:rPr>
            <a:t>values are discounted and deflated to real 2021 EUR</a:t>
          </a:r>
          <a:r>
            <a:rPr lang="en-US" sz="1000">
              <a:solidFill>
                <a:schemeClr val="dk1"/>
              </a:solidFill>
              <a:effectLst/>
              <a:latin typeface="Pero" panose="020F0506020203030304" pitchFamily="34" charset="0"/>
              <a:ea typeface="+mn-ea"/>
              <a:cs typeface="+mn-cs"/>
            </a:rPr>
            <a:t>). </a:t>
          </a:r>
          <a:endParaRPr lang="en-US" sz="1000" b="0" i="0" u="none" strike="noStrike" baseline="0">
            <a:solidFill>
              <a:schemeClr val="dk1"/>
            </a:solidFill>
            <a:latin typeface="Pero" panose="020F0506020203030304" pitchFamily="34" charset="0"/>
            <a:ea typeface="+mn-ea"/>
            <a:cs typeface="+mn-cs"/>
          </a:endParaRP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The total prject </a:t>
          </a:r>
          <a:r>
            <a:rPr lang="en-US" sz="1000" b="1" i="0" u="none" strike="noStrike" baseline="0">
              <a:solidFill>
                <a:schemeClr val="dk1"/>
              </a:solidFill>
              <a:latin typeface="Pero" panose="020F0506020203030304" pitchFamily="34" charset="0"/>
              <a:ea typeface="+mn-ea"/>
              <a:cs typeface="+mn-cs"/>
            </a:rPr>
            <a:t>SROI of 1.2 </a:t>
          </a:r>
          <a:r>
            <a:rPr lang="en-US" sz="1000" b="0" i="0" u="none" strike="noStrike" baseline="0">
              <a:solidFill>
                <a:schemeClr val="dk1"/>
              </a:solidFill>
              <a:latin typeface="Pero" panose="020F0506020203030304" pitchFamily="34" charset="0"/>
              <a:ea typeface="+mn-ea"/>
              <a:cs typeface="+mn-cs"/>
            </a:rPr>
            <a:t>indicates that under base assumptions, program benefits roughly equal project costs. Looking at the implementation cohorts separately, the </a:t>
          </a:r>
          <a:r>
            <a:rPr lang="en-US" sz="1000" b="1" i="0" u="none" strike="noStrike" baseline="0">
              <a:solidFill>
                <a:schemeClr val="dk1"/>
              </a:solidFill>
              <a:latin typeface="Pero" panose="020F0506020203030304" pitchFamily="34" charset="0"/>
              <a:ea typeface="+mn-ea"/>
              <a:cs typeface="+mn-cs"/>
            </a:rPr>
            <a:t>SROI for the 2019-cohort is 1.3 </a:t>
          </a:r>
          <a:r>
            <a:rPr lang="en-US" sz="1000" b="0" i="0" u="none" strike="noStrike" baseline="0">
              <a:solidFill>
                <a:schemeClr val="dk1"/>
              </a:solidFill>
              <a:latin typeface="Pero" panose="020F0506020203030304" pitchFamily="34" charset="0"/>
              <a:ea typeface="+mn-ea"/>
              <a:cs typeface="+mn-cs"/>
            </a:rPr>
            <a:t>and for the </a:t>
          </a:r>
          <a:r>
            <a:rPr lang="en-US" sz="1000" b="1" i="0" u="none" strike="noStrike" baseline="0">
              <a:solidFill>
                <a:schemeClr val="dk1"/>
              </a:solidFill>
              <a:latin typeface="Pero" panose="020F0506020203030304" pitchFamily="34" charset="0"/>
              <a:ea typeface="+mn-ea"/>
              <a:cs typeface="+mn-cs"/>
            </a:rPr>
            <a:t>2020-cohort it is 1.1</a:t>
          </a:r>
          <a:r>
            <a:rPr lang="en-US" sz="1000" b="0" i="0" u="none" strike="noStrike" baseline="0">
              <a:solidFill>
                <a:schemeClr val="dk1"/>
              </a:solidFill>
              <a:latin typeface="Pero" panose="020F0506020203030304" pitchFamily="34" charset="0"/>
              <a:ea typeface="+mn-ea"/>
              <a:cs typeface="+mn-cs"/>
            </a:rPr>
            <a:t>. The higher number of trees stumbed (possibly due to stumping incentives distributed in C2020) does not offset the negative effect of lower tree productivity in C2020 households.</a:t>
          </a: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Low uptake and intensity of stumping and small changes in overall farm management limit the program's potential to meaningfully increase coffee net profits for participating households.</a:t>
          </a: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Results from </a:t>
          </a:r>
          <a:r>
            <a:rPr lang="en-US" sz="1000" b="1" i="0" u="none" strike="noStrike" baseline="0">
              <a:solidFill>
                <a:schemeClr val="dk1"/>
              </a:solidFill>
              <a:latin typeface="Pero" panose="020F0506020203030304" pitchFamily="34" charset="0"/>
              <a:ea typeface="+mn-ea"/>
              <a:cs typeface="+mn-cs"/>
            </a:rPr>
            <a:t>sensitivity analysis </a:t>
          </a:r>
          <a:r>
            <a:rPr lang="en-US" sz="1000" b="0" i="0" u="none" strike="noStrike" baseline="0">
              <a:solidFill>
                <a:schemeClr val="dk1"/>
              </a:solidFill>
              <a:latin typeface="Pero" panose="020F0506020203030304" pitchFamily="34" charset="0"/>
              <a:ea typeface="+mn-ea"/>
              <a:cs typeface="+mn-cs"/>
            </a:rPr>
            <a:t>suggest that in order to improve cost-effectiveness the program has to further increase the adoption rate and intensity of stumping.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u="none" strike="noStrike" baseline="0">
              <a:solidFill>
                <a:schemeClr val="dk1"/>
              </a:solidFill>
              <a:latin typeface="Pero" panose="020F0506020203030304" pitchFamily="34" charset="0"/>
              <a:ea typeface="+mn-ea"/>
              <a:cs typeface="+mn-cs"/>
            </a:rPr>
            <a:t>The SROI quickly drops below 1 (break-even point) when more conserative assumptions are used. Thus, we conclude that the program should not be replicated under the same conditions. The returns to future programming may be increased through </a:t>
          </a:r>
          <a:r>
            <a:rPr lang="en-US" sz="1000" b="1" i="0" u="none" strike="noStrike" baseline="0">
              <a:solidFill>
                <a:schemeClr val="dk1"/>
              </a:solidFill>
              <a:latin typeface="Pero" panose="020F0506020203030304" pitchFamily="34" charset="0"/>
              <a:ea typeface="+mn-ea"/>
              <a:cs typeface="+mn-cs"/>
            </a:rPr>
            <a:t>deliberate targeting of larger coffee farms </a:t>
          </a:r>
          <a:r>
            <a:rPr lang="en-US" sz="1000" b="0" i="0" u="none" strike="noStrike" baseline="0">
              <a:solidFill>
                <a:schemeClr val="dk1"/>
              </a:solidFill>
              <a:latin typeface="Pero" panose="020F0506020203030304" pitchFamily="34" charset="0"/>
              <a:ea typeface="+mn-ea"/>
              <a:cs typeface="+mn-cs"/>
            </a:rPr>
            <a:t>(as farm households with larger coffee area and number of coffee trees are more likely to adopt stumping and stump relatively larger number of coffee trees), adding additional components that can increase the adoption rate and intensity of stumping by addressing other binding constreaints to best practice (BP) adoption. </a:t>
          </a:r>
        </a:p>
      </xdr:txBody>
    </xdr:sp>
    <xdr:clientData/>
  </xdr:twoCellAnchor>
  <xdr:twoCellAnchor>
    <xdr:from>
      <xdr:col>3</xdr:col>
      <xdr:colOff>174785</xdr:colOff>
      <xdr:row>18</xdr:row>
      <xdr:rowOff>76541</xdr:rowOff>
    </xdr:from>
    <xdr:to>
      <xdr:col>7</xdr:col>
      <xdr:colOff>1991350</xdr:colOff>
      <xdr:row>28</xdr:row>
      <xdr:rowOff>0</xdr:rowOff>
    </xdr:to>
    <xdr:sp macro="" textlink="">
      <xdr:nvSpPr>
        <xdr:cNvPr id="2" name="TextBox 2">
          <a:extLst>
            <a:ext uri="{FF2B5EF4-FFF2-40B4-BE49-F238E27FC236}">
              <a16:creationId xmlns:a16="http://schemas.microsoft.com/office/drawing/2014/main" id="{01CF959E-E2F7-4B78-9FE1-AE13FFA0065E}"/>
            </a:ext>
          </a:extLst>
        </xdr:cNvPr>
        <xdr:cNvSpPr txBox="1"/>
      </xdr:nvSpPr>
      <xdr:spPr>
        <a:xfrm>
          <a:off x="6484145" y="4526621"/>
          <a:ext cx="6190445" cy="184369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b="1" i="0" u="none" strike="noStrike" baseline="0">
              <a:solidFill>
                <a:schemeClr val="dk1"/>
              </a:solidFill>
              <a:latin typeface="Pero" panose="020F0506020203030304" pitchFamily="34" charset="0"/>
              <a:ea typeface="+mn-ea"/>
              <a:cs typeface="+mn-cs"/>
            </a:rPr>
            <a:t>*Level of certainty:  Low</a:t>
          </a:r>
          <a:endParaRPr lang="en-US" sz="1000" b="0" i="0" u="none" strike="noStrike" baseline="0">
            <a:solidFill>
              <a:schemeClr val="dk1"/>
            </a:solidFill>
            <a:latin typeface="Pero" panose="020F0506020203030304" pitchFamily="34" charset="0"/>
            <a:ea typeface="+mn-ea"/>
            <a:cs typeface="+mn-cs"/>
          </a:endParaRPr>
        </a:p>
        <a:p>
          <a:r>
            <a:rPr lang="en-US" sz="1000" b="1" i="0" u="none" strike="noStrike" baseline="0">
              <a:solidFill>
                <a:schemeClr val="dk1"/>
              </a:solidFill>
              <a:latin typeface="Pero" panose="020F0506020203030304" pitchFamily="34" charset="0"/>
              <a:ea typeface="+mn-ea"/>
              <a:cs typeface="+mn-cs"/>
            </a:rPr>
            <a:t>Medium data quality: </a:t>
          </a:r>
          <a:r>
            <a:rPr lang="en-US" sz="1000" b="0" i="0" u="none" strike="noStrike" baseline="0">
              <a:solidFill>
                <a:schemeClr val="dk1"/>
              </a:solidFill>
              <a:latin typeface="Pero" panose="020F0506020203030304" pitchFamily="34" charset="0"/>
              <a:ea typeface="+mn-ea"/>
              <a:cs typeface="+mn-cs"/>
            </a:rPr>
            <a:t>Additional net profit from coffee is modelled based on changes in the adoption of agricultural best practices. Count of number of stumped trees, farmer-reported adoption of other practices with in-field verification; adoption metrics are not always well-defined and data on adoption intensity is not collected.</a:t>
          </a:r>
        </a:p>
        <a:p>
          <a:r>
            <a:rPr lang="en-US" sz="1000" b="1" i="0" u="none" strike="noStrike" baseline="0">
              <a:solidFill>
                <a:schemeClr val="dk1"/>
              </a:solidFill>
              <a:latin typeface="Pero" panose="020F0506020203030304" pitchFamily="34" charset="0"/>
              <a:ea typeface="+mn-ea"/>
              <a:cs typeface="+mn-cs"/>
            </a:rPr>
            <a:t>Low precision: </a:t>
          </a:r>
          <a:r>
            <a:rPr lang="en-US" sz="1000" b="0" i="0" u="none" strike="noStrike" baseline="0">
              <a:solidFill>
                <a:schemeClr val="dk1"/>
              </a:solidFill>
              <a:latin typeface="Pero" panose="020F0506020203030304" pitchFamily="34" charset="0"/>
              <a:ea typeface="+mn-ea"/>
              <a:cs typeface="+mn-cs"/>
            </a:rPr>
            <a:t>Confidence interval (CI) width &gt; 60% of point estimate of the effect of attending at least 50% of the key training topics on the adoption of four or more practices.</a:t>
          </a:r>
        </a:p>
        <a:p>
          <a:r>
            <a:rPr lang="en-US" sz="1000" b="1" i="0" u="none" strike="noStrike" baseline="0">
              <a:solidFill>
                <a:schemeClr val="dk1"/>
              </a:solidFill>
              <a:latin typeface="Pero" panose="020F0506020203030304" pitchFamily="34" charset="0"/>
              <a:ea typeface="+mn-ea"/>
              <a:cs typeface="+mn-cs"/>
            </a:rPr>
            <a:t>Uncertain assumptions: </a:t>
          </a:r>
          <a:r>
            <a:rPr lang="en-US" sz="1000" b="0" i="0" u="none" strike="noStrike" baseline="0">
              <a:solidFill>
                <a:schemeClr val="dk1"/>
              </a:solidFill>
              <a:latin typeface="Pero" panose="020F0506020203030304" pitchFamily="34" charset="0"/>
              <a:ea typeface="+mn-ea"/>
              <a:cs typeface="+mn-cs"/>
            </a:rPr>
            <a:t>Modelling the additional net profit from coffee required several assumptions (e.g. yield benefit of practices, input needed for practice adoption, future development of coffee prices). These assumptions are based on selective monitoring data, expert opinions and sometimes best guesses. There is also little evidence supporting the assumed adoption rates and yield benefits over time. </a:t>
          </a:r>
        </a:p>
      </xdr:txBody>
    </xdr:sp>
    <xdr:clientData/>
  </xdr:twoCellAnchor>
  <xdr:twoCellAnchor>
    <xdr:from>
      <xdr:col>3</xdr:col>
      <xdr:colOff>217306</xdr:colOff>
      <xdr:row>34</xdr:row>
      <xdr:rowOff>48237</xdr:rowOff>
    </xdr:from>
    <xdr:to>
      <xdr:col>7</xdr:col>
      <xdr:colOff>1969770</xdr:colOff>
      <xdr:row>38</xdr:row>
      <xdr:rowOff>9525</xdr:rowOff>
    </xdr:to>
    <xdr:sp macro="" textlink="">
      <xdr:nvSpPr>
        <xdr:cNvPr id="4" name="TextBox 2">
          <a:extLst>
            <a:ext uri="{FF2B5EF4-FFF2-40B4-BE49-F238E27FC236}">
              <a16:creationId xmlns:a16="http://schemas.microsoft.com/office/drawing/2014/main" id="{1B16057B-783D-4C41-8924-9F4B7E45BD20}"/>
            </a:ext>
          </a:extLst>
        </xdr:cNvPr>
        <xdr:cNvSpPr txBox="1"/>
      </xdr:nvSpPr>
      <xdr:spPr>
        <a:xfrm>
          <a:off x="6532381" y="7601562"/>
          <a:ext cx="6133964" cy="86616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Low</a:t>
          </a:r>
          <a:r>
            <a:rPr lang="en-US" sz="1050" b="0" i="0" u="none" strike="noStrike" baseline="0">
              <a:solidFill>
                <a:schemeClr val="dk1"/>
              </a:solidFill>
              <a:latin typeface="Pero" panose="020F0506020203030304" pitchFamily="34" charset="0"/>
              <a:ea typeface="+mn-ea"/>
              <a:cs typeface="+mn-cs"/>
            </a:rPr>
            <a:t>	</a:t>
          </a:r>
        </a:p>
        <a:p>
          <a:r>
            <a:rPr lang="en-US" sz="1050" b="0" i="0" u="none" strike="noStrike" baseline="0">
              <a:solidFill>
                <a:schemeClr val="dk1"/>
              </a:solidFill>
              <a:latin typeface="Pero" panose="020F0506020203030304" pitchFamily="34" charset="0"/>
              <a:ea typeface="+mn-ea"/>
              <a:cs typeface="+mn-cs"/>
            </a:rPr>
            <a:t>The study involves no comparison group. Trained households in treatment kebeles are compared with untrained households before and after the program. Spillove effects of the program, which could be substantial, are not considered.</a:t>
          </a:r>
        </a:p>
      </xdr:txBody>
    </xdr:sp>
    <xdr:clientData/>
  </xdr:twoCellAnchor>
  <xdr:twoCellAnchor editAs="oneCell">
    <xdr:from>
      <xdr:col>4</xdr:col>
      <xdr:colOff>488462</xdr:colOff>
      <xdr:row>0</xdr:row>
      <xdr:rowOff>0</xdr:rowOff>
    </xdr:from>
    <xdr:to>
      <xdr:col>4</xdr:col>
      <xdr:colOff>1849963</xdr:colOff>
      <xdr:row>2</xdr:row>
      <xdr:rowOff>94644</xdr:rowOff>
    </xdr:to>
    <xdr:pic>
      <xdr:nvPicPr>
        <xdr:cNvPr id="7" name="Grafik 6">
          <a:extLst>
            <a:ext uri="{FF2B5EF4-FFF2-40B4-BE49-F238E27FC236}">
              <a16:creationId xmlns:a16="http://schemas.microsoft.com/office/drawing/2014/main" id="{7AD4B42C-A533-452D-B68B-10F1FB623D06}"/>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600462" y="0"/>
          <a:ext cx="1369121" cy="674594"/>
        </a:xfrm>
        <a:prstGeom prst="rect">
          <a:avLst/>
        </a:prstGeom>
      </xdr:spPr>
    </xdr:pic>
    <xdr:clientData/>
  </xdr:twoCellAnchor>
  <xdr:twoCellAnchor editAs="oneCell">
    <xdr:from>
      <xdr:col>4</xdr:col>
      <xdr:colOff>2585354</xdr:colOff>
      <xdr:row>0</xdr:row>
      <xdr:rowOff>154390</xdr:rowOff>
    </xdr:from>
    <xdr:to>
      <xdr:col>6</xdr:col>
      <xdr:colOff>364986</xdr:colOff>
      <xdr:row>2</xdr:row>
      <xdr:rowOff>97717</xdr:rowOff>
    </xdr:to>
    <xdr:pic>
      <xdr:nvPicPr>
        <xdr:cNvPr id="8" name="Grafik 7">
          <a:extLst>
            <a:ext uri="{FF2B5EF4-FFF2-40B4-BE49-F238E27FC236}">
              <a16:creationId xmlns:a16="http://schemas.microsoft.com/office/drawing/2014/main" id="{7990D423-2FEC-49C7-B72C-228ABF3ECDDD}"/>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9697354" y="154390"/>
          <a:ext cx="1009484" cy="521372"/>
        </a:xfrm>
        <a:prstGeom prst="rect">
          <a:avLst/>
        </a:prstGeom>
      </xdr:spPr>
    </xdr:pic>
    <xdr:clientData/>
  </xdr:twoCellAnchor>
  <xdr:twoCellAnchor editAs="oneCell">
    <xdr:from>
      <xdr:col>6</xdr:col>
      <xdr:colOff>479636</xdr:colOff>
      <xdr:row>0</xdr:row>
      <xdr:rowOff>0</xdr:rowOff>
    </xdr:from>
    <xdr:to>
      <xdr:col>7</xdr:col>
      <xdr:colOff>1579077</xdr:colOff>
      <xdr:row>3</xdr:row>
      <xdr:rowOff>16586</xdr:rowOff>
    </xdr:to>
    <xdr:pic>
      <xdr:nvPicPr>
        <xdr:cNvPr id="11" name="Grafik 10">
          <a:extLst>
            <a:ext uri="{FF2B5EF4-FFF2-40B4-BE49-F238E27FC236}">
              <a16:creationId xmlns:a16="http://schemas.microsoft.com/office/drawing/2014/main" id="{CF073318-3B7C-593C-6529-25D88D802B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274211" y="0"/>
          <a:ext cx="1718099" cy="779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25399</xdr:colOff>
      <xdr:row>2</xdr:row>
      <xdr:rowOff>0</xdr:rowOff>
    </xdr:from>
    <xdr:to>
      <xdr:col>14</xdr:col>
      <xdr:colOff>472853</xdr:colOff>
      <xdr:row>15</xdr:row>
      <xdr:rowOff>158750</xdr:rowOff>
    </xdr:to>
    <xdr:pic>
      <xdr:nvPicPr>
        <xdr:cNvPr id="2" name="Picture 1" descr="A screenshot of a computer&#10;&#10;Description automatically generated">
          <a:extLst>
            <a:ext uri="{FF2B5EF4-FFF2-40B4-BE49-F238E27FC236}">
              <a16:creationId xmlns:a16="http://schemas.microsoft.com/office/drawing/2014/main" id="{C8F856F2-A85A-E0B5-D39F-BD57C3C15FA8}"/>
            </a:ext>
          </a:extLst>
        </xdr:cNvPr>
        <xdr:cNvPicPr>
          <a:picLocks noChangeAspect="1"/>
        </xdr:cNvPicPr>
      </xdr:nvPicPr>
      <xdr:blipFill>
        <a:blip xmlns:r="http://schemas.openxmlformats.org/officeDocument/2006/relationships" r:embed="rId1"/>
        <a:stretch>
          <a:fillRect/>
        </a:stretch>
      </xdr:blipFill>
      <xdr:spPr>
        <a:xfrm>
          <a:off x="25399" y="0"/>
          <a:ext cx="8591329" cy="2552700"/>
        </a:xfrm>
        <a:prstGeom prst="rect">
          <a:avLst/>
        </a:prstGeom>
      </xdr:spPr>
    </xdr:pic>
    <xdr:clientData/>
  </xdr:twoCellAnchor>
  <xdr:twoCellAnchor>
    <xdr:from>
      <xdr:col>0</xdr:col>
      <xdr:colOff>0</xdr:colOff>
      <xdr:row>21</xdr:row>
      <xdr:rowOff>0</xdr:rowOff>
    </xdr:from>
    <xdr:to>
      <xdr:col>17</xdr:col>
      <xdr:colOff>353571</xdr:colOff>
      <xdr:row>50</xdr:row>
      <xdr:rowOff>0</xdr:rowOff>
    </xdr:to>
    <xdr:sp macro="" textlink="">
      <xdr:nvSpPr>
        <xdr:cNvPr id="3" name="Rechteck 16">
          <a:extLst>
            <a:ext uri="{FF2B5EF4-FFF2-40B4-BE49-F238E27FC236}">
              <a16:creationId xmlns:a16="http://schemas.microsoft.com/office/drawing/2014/main" id="{E8F4BD55-0D4E-3450-CC56-940AF7363FF7}"/>
            </a:ext>
          </a:extLst>
        </xdr:cNvPr>
        <xdr:cNvSpPr/>
      </xdr:nvSpPr>
      <xdr:spPr>
        <a:xfrm>
          <a:off x="0" y="4048125"/>
          <a:ext cx="10773921" cy="6858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srgbClr val="FFFFFF"/>
            </a:solidFill>
            <a:effectLst/>
            <a:uLnTx/>
            <a:uFillTx/>
            <a:latin typeface="Pero"/>
            <a:ea typeface="+mn-ea"/>
            <a:cs typeface="+mn-cs"/>
          </a:endParaRPr>
        </a:p>
      </xdr:txBody>
    </xdr:sp>
    <xdr:clientData/>
  </xdr:twoCellAnchor>
  <xdr:twoCellAnchor editAs="oneCell">
    <xdr:from>
      <xdr:col>0</xdr:col>
      <xdr:colOff>0</xdr:colOff>
      <xdr:row>21</xdr:row>
      <xdr:rowOff>0</xdr:rowOff>
    </xdr:from>
    <xdr:to>
      <xdr:col>17</xdr:col>
      <xdr:colOff>306280</xdr:colOff>
      <xdr:row>55</xdr:row>
      <xdr:rowOff>143799</xdr:rowOff>
    </xdr:to>
    <xdr:pic>
      <xdr:nvPicPr>
        <xdr:cNvPr id="10" name="Picture 9">
          <a:extLst>
            <a:ext uri="{FF2B5EF4-FFF2-40B4-BE49-F238E27FC236}">
              <a16:creationId xmlns:a16="http://schemas.microsoft.com/office/drawing/2014/main" id="{E9CAE59F-C3AD-C9BC-FB36-B7FA92D7DBC6}"/>
            </a:ext>
          </a:extLst>
        </xdr:cNvPr>
        <xdr:cNvPicPr>
          <a:picLocks noChangeAspect="1"/>
        </xdr:cNvPicPr>
      </xdr:nvPicPr>
      <xdr:blipFill>
        <a:blip xmlns:r="http://schemas.openxmlformats.org/officeDocument/2006/relationships" r:embed="rId2"/>
        <a:stretch>
          <a:fillRect/>
        </a:stretch>
      </xdr:blipFill>
      <xdr:spPr>
        <a:xfrm>
          <a:off x="0" y="5381625"/>
          <a:ext cx="10602805" cy="66207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13</xdr:row>
      <xdr:rowOff>19050</xdr:rowOff>
    </xdr:from>
    <xdr:to>
      <xdr:col>3</xdr:col>
      <xdr:colOff>53341</xdr:colOff>
      <xdr:row>20</xdr:row>
      <xdr:rowOff>171449</xdr:rowOff>
    </xdr:to>
    <xdr:graphicFrame macro="">
      <xdr:nvGraphicFramePr>
        <xdr:cNvPr id="26" name="Chart 25">
          <a:extLst>
            <a:ext uri="{FF2B5EF4-FFF2-40B4-BE49-F238E27FC236}">
              <a16:creationId xmlns:a16="http://schemas.microsoft.com/office/drawing/2014/main" id="{3863E020-513E-E4A3-2D8F-59100A9B02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181927</xdr:colOff>
      <xdr:row>12</xdr:row>
      <xdr:rowOff>164779</xdr:rowOff>
    </xdr:from>
    <xdr:to>
      <xdr:col>10</xdr:col>
      <xdr:colOff>178117</xdr:colOff>
      <xdr:row>20</xdr:row>
      <xdr:rowOff>163831</xdr:rowOff>
    </xdr:to>
    <xdr:graphicFrame macro="">
      <xdr:nvGraphicFramePr>
        <xdr:cNvPr id="32" name="Chart 31">
          <a:extLst>
            <a:ext uri="{FF2B5EF4-FFF2-40B4-BE49-F238E27FC236}">
              <a16:creationId xmlns:a16="http://schemas.microsoft.com/office/drawing/2014/main" id="{7CC714C1-6F14-2374-85C9-AA1D576449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0</xdr:row>
      <xdr:rowOff>123825</xdr:rowOff>
    </xdr:from>
    <xdr:to>
      <xdr:col>14</xdr:col>
      <xdr:colOff>38100</xdr:colOff>
      <xdr:row>8</xdr:row>
      <xdr:rowOff>161926</xdr:rowOff>
    </xdr:to>
    <xdr:sp macro="" textlink="">
      <xdr:nvSpPr>
        <xdr:cNvPr id="2" name="TextBox 2">
          <a:extLst>
            <a:ext uri="{FF2B5EF4-FFF2-40B4-BE49-F238E27FC236}">
              <a16:creationId xmlns:a16="http://schemas.microsoft.com/office/drawing/2014/main" id="{F0ECBA8A-63BB-4DB5-999F-95695C210B19}"/>
            </a:ext>
          </a:extLst>
        </xdr:cNvPr>
        <xdr:cNvSpPr txBox="1"/>
      </xdr:nvSpPr>
      <xdr:spPr>
        <a:xfrm>
          <a:off x="161925" y="123825"/>
          <a:ext cx="7877175" cy="45624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baseline="0">
              <a:solidFill>
                <a:schemeClr val="dk1"/>
              </a:solidFill>
              <a:effectLst/>
              <a:latin typeface="Pero" panose="020F0506020203030304" pitchFamily="34" charset="0"/>
              <a:ea typeface="+mn-ea"/>
              <a:cs typeface="+mn-cs"/>
            </a:rPr>
            <a:t>*Level of certainty (lowest of the four dimensions evidence strengths, precision of impact estimates, assumptions, and sensitivity):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Low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No direct measurement of household income or consumption expenditure. Income effects 	modeled from intermediate outcomes.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Weak evaluation design (observational, no counterfactual; small or non-representative samples).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Impact/outcome estimates from very different contexts (low generalizability).</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Confidence interval (CI) width &gt; 60% of point estimate or no CI reported at all. Point 	estimates not statistically significant.</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Multiple key assumptions with high uncertainty (best guess).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Medium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Impact estimates based on self-reported income or validated proxy measures.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Observational or quasi-experimental evaluation design with some attempt at causal inference.</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Impact estimates from similar contexts or adapted with reasoning.</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Moderately wide CI (CI width 30-60%). Borderline statistical significance of impact 	estimates.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Some substantiated assumptions (with some form of support based on available evidence or logical 	reasoning).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are moderately sensitive to key parameters. Reasonable variation in inputs leads to noticeable 	but not decision-changing shifts in ROI.</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High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Direct measurement of household consumption expenditure. </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Rigorous experimental/quasi-experimental design with strong causal identification.</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Impact estimates from coffee-growing households in East Africa or validated external validity.</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Income estimates significant at 5% (p&lt;0.05) with narrow confidence intervals (i.e., CI 	width &lt; 31% of the point estimate).</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All key assumptions are empirically grounded or sensitivity-tested.</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are robust to sensitivity analysis. Changes in inputs lead to only modest changes in SROI 	values and conclusions remain consistent.</a:t>
          </a:r>
          <a:endParaRPr lang="en-US" sz="1050">
            <a:effectLst/>
            <a:latin typeface="Pero" panose="020F0506020203030304" pitchFamily="34" charset="0"/>
          </a:endParaRPr>
        </a:p>
        <a:p>
          <a:endParaRPr lang="en-US" sz="1050" b="0" i="0" u="none" strike="noStrike" baseline="0">
            <a:solidFill>
              <a:schemeClr val="dk1"/>
            </a:solidFill>
            <a:latin typeface="Pero" panose="020F0506020203030304" pitchFamily="34" charset="0"/>
            <a:ea typeface="+mn-ea"/>
            <a:cs typeface="+mn-cs"/>
          </a:endParaRPr>
        </a:p>
      </xdr:txBody>
    </xdr:sp>
    <xdr:clientData/>
  </xdr:twoCellAnchor>
  <xdr:twoCellAnchor>
    <xdr:from>
      <xdr:col>0</xdr:col>
      <xdr:colOff>161924</xdr:colOff>
      <xdr:row>9</xdr:row>
      <xdr:rowOff>74295</xdr:rowOff>
    </xdr:from>
    <xdr:to>
      <xdr:col>14</xdr:col>
      <xdr:colOff>57149</xdr:colOff>
      <xdr:row>10</xdr:row>
      <xdr:rowOff>944064</xdr:rowOff>
    </xdr:to>
    <xdr:sp macro="" textlink="">
      <xdr:nvSpPr>
        <xdr:cNvPr id="3" name="TextBox 2">
          <a:extLst>
            <a:ext uri="{FF2B5EF4-FFF2-40B4-BE49-F238E27FC236}">
              <a16:creationId xmlns:a16="http://schemas.microsoft.com/office/drawing/2014/main" id="{579B3A6F-6953-4179-9EB5-5A6ED6803AB4}"/>
            </a:ext>
          </a:extLst>
        </xdr:cNvPr>
        <xdr:cNvSpPr txBox="1"/>
      </xdr:nvSpPr>
      <xdr:spPr>
        <a:xfrm>
          <a:off x="161924" y="4732020"/>
          <a:ext cx="8162925" cy="105074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Low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Medium	Design is generally appropriate, with clear and justified sampling and analytical methods, though some limitations remain</a:t>
          </a:r>
        </a:p>
        <a:p>
          <a:r>
            <a:rPr lang="en-US" sz="1050" b="0" i="0" u="none" strike="noStrike" baseline="0">
              <a:solidFill>
                <a:schemeClr val="dk1"/>
              </a:solidFill>
              <a:latin typeface="Pero" panose="020F0506020203030304" pitchFamily="34" charset="0"/>
              <a:ea typeface="+mn-ea"/>
              <a:cs typeface="+mn-cs"/>
            </a:rPr>
            <a:t>High	Rigorous design with well-documented, robust methods that effectively address potential biases and support strong 	causal inferences.</a:t>
          </a:r>
        </a:p>
      </xdr:txBody>
    </xdr:sp>
    <xdr:clientData/>
  </xdr:twoCellAnchor>
  <xdr:twoCellAnchor>
    <xdr:from>
      <xdr:col>0</xdr:col>
      <xdr:colOff>173355</xdr:colOff>
      <xdr:row>14</xdr:row>
      <xdr:rowOff>131446</xdr:rowOff>
    </xdr:from>
    <xdr:to>
      <xdr:col>14</xdr:col>
      <xdr:colOff>95250</xdr:colOff>
      <xdr:row>22</xdr:row>
      <xdr:rowOff>97156</xdr:rowOff>
    </xdr:to>
    <xdr:sp macro="" textlink="">
      <xdr:nvSpPr>
        <xdr:cNvPr id="5" name="TextBox 4">
          <a:extLst>
            <a:ext uri="{FF2B5EF4-FFF2-40B4-BE49-F238E27FC236}">
              <a16:creationId xmlns:a16="http://schemas.microsoft.com/office/drawing/2014/main" id="{A65B9127-0FF8-49EE-AC7A-D7DECC7320EC}"/>
            </a:ext>
          </a:extLst>
        </xdr:cNvPr>
        <xdr:cNvSpPr txBox="1"/>
      </xdr:nvSpPr>
      <xdr:spPr>
        <a:xfrm>
          <a:off x="173355" y="6608446"/>
          <a:ext cx="8189595" cy="1413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167641</xdr:colOff>
      <xdr:row>35</xdr:row>
      <xdr:rowOff>9523</xdr:rowOff>
    </xdr:from>
    <xdr:to>
      <xdr:col>14</xdr:col>
      <xdr:colOff>137161</xdr:colOff>
      <xdr:row>60</xdr:row>
      <xdr:rowOff>64769</xdr:rowOff>
    </xdr:to>
    <xdr:sp macro="" textlink="">
      <xdr:nvSpPr>
        <xdr:cNvPr id="6" name="TextBox 5">
          <a:extLst>
            <a:ext uri="{FF2B5EF4-FFF2-40B4-BE49-F238E27FC236}">
              <a16:creationId xmlns:a16="http://schemas.microsoft.com/office/drawing/2014/main" id="{DFF3CF92-E679-4A6D-8A2F-FD72017EFC64}"/>
            </a:ext>
          </a:extLst>
        </xdr:cNvPr>
        <xdr:cNvSpPr txBox="1"/>
      </xdr:nvSpPr>
      <xdr:spPr>
        <a:xfrm>
          <a:off x="167641" y="10349863"/>
          <a:ext cx="8183880" cy="462724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*Yield benefit</a:t>
          </a:r>
          <a:r>
            <a:rPr lang="en-US" sz="1050" b="1" baseline="0">
              <a:solidFill>
                <a:schemeClr val="dk1"/>
              </a:solidFill>
              <a:effectLst/>
              <a:latin typeface="Pero" panose="020F0506020203030304" pitchFamily="34" charset="0"/>
              <a:ea typeface="+mn-ea"/>
              <a:cs typeface="+mn-cs"/>
            </a:rPr>
            <a:t> of GAP adoption without stumping: </a:t>
          </a:r>
          <a:r>
            <a:rPr lang="en-US" sz="1050" b="0" baseline="0">
              <a:solidFill>
                <a:schemeClr val="dk1"/>
              </a:solidFill>
              <a:effectLst/>
              <a:latin typeface="Pero" panose="020F0506020203030304" pitchFamily="34" charset="0"/>
              <a:ea typeface="+mn-ea"/>
              <a:cs typeface="+mn-cs"/>
            </a:rPr>
            <a:t>We have no evidence on the yield effect of the adoption of GAPs other than stumping. The UCAT RCT reports ToT esimates on coffee yield per tree between 8.2% and 18.1% of a training program on regenerative agriculture practices in coffee including rejuvenation in Uganda. We assume that yield effects start one year after the start of programming (as it takes 1 year to cover all training topics).</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*Yield effect of stumping: </a:t>
          </a:r>
          <a:r>
            <a:rPr lang="en-US" sz="1050" b="0" baseline="0">
              <a:solidFill>
                <a:schemeClr val="dk1"/>
              </a:solidFill>
              <a:effectLst/>
              <a:latin typeface="Pero" panose="020F0506020203030304" pitchFamily="34" charset="0"/>
              <a:ea typeface="+mn-ea"/>
              <a:cs typeface="+mn-cs"/>
            </a:rPr>
            <a:t>For the yield benefit of stumping we follow results from a TNS yield study that compared the yield of unstumped and stumped trees on a small number of demo-plots over time. It is assumed that these effects reflect the yield benefit of stumping plus the adoption of other good agricultural practices. The HWG yield pilot study conducted with Laterite in Sidama during the third harvest after stumping found an unconditional impact of 40% of stumping on coffee yield. After accounting for complementary best practices, tree characteristics and location, coffee trees on stumped plots yield 21-23% more compared to trees on unstumped coffee plots. This is significantly lower than the findings of the TNS yield study. We still rely on the TNS study, as the HWG pliot yield study only covered one point in time. </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*Practice adoption over time: </a:t>
          </a:r>
          <a:r>
            <a:rPr lang="en-US" sz="1050" b="0" baseline="0">
              <a:solidFill>
                <a:schemeClr val="dk1"/>
              </a:solidFill>
              <a:effectLst/>
              <a:latin typeface="Pero" panose="020F0506020203030304" pitchFamily="34" charset="0"/>
              <a:ea typeface="+mn-ea"/>
              <a:cs typeface="+mn-cs"/>
            </a:rPr>
            <a:t>The available evaluation data does not allow us to estimate the dynamic effects of the CFC on practice adoption - it is possible that the effects became either stronger or weaker over time. 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Spillover effects:</a:t>
          </a:r>
          <a:r>
            <a:rPr lang="en-US" sz="1050" b="0" baseline="0">
              <a:solidFill>
                <a:schemeClr val="dk1"/>
              </a:solidFill>
              <a:effectLst/>
              <a:latin typeface="Pero" panose="020F0506020203030304" pitchFamily="34" charset="0"/>
              <a:ea typeface="+mn-ea"/>
              <a:cs typeface="+mn-cs"/>
            </a:rPr>
            <a:t> The Coffee Farm College could lead to positive spillover effects among participating and non-participating households. Participating households may apply their BP knowledge to other crops. Non-participating households may learn about BPs through knowledge sharing and start applying BPs on their (coffee) plots. The presence of the TNS Coffee Farm College can also inflluence local markets and labor demand. There is limited and mixed evidence on the direction and magnitude of spillover effects of agricultural extension programs. An RCT of an TNS agronomy training program among Rwandan coffee farmers finds no evidence of social diffusion of BP knoweldge; instead control households experienced negative spillovers, likely because of competition for scarce inputs, such as inorganic fertilizer and labor (Duflo et al., 2026). Therefore, we do not consider (positive and/or negative) spillover effects in SROI calculation.</a:t>
          </a:r>
          <a:endParaRPr lang="en-US" sz="1050" b="1">
            <a:solidFill>
              <a:schemeClr val="dk1"/>
            </a:solidFill>
            <a:effectLst/>
            <a:latin typeface="Pero" panose="020F0506020203030304" pitchFamily="34" charset="0"/>
            <a:ea typeface="+mn-ea"/>
            <a:cs typeface="+mn-cs"/>
          </a:endParaRPr>
        </a:p>
      </xdr:txBody>
    </xdr:sp>
    <xdr:clientData/>
  </xdr:twoCellAnchor>
  <xdr:twoCellAnchor>
    <xdr:from>
      <xdr:col>0</xdr:col>
      <xdr:colOff>171450</xdr:colOff>
      <xdr:row>23</xdr:row>
      <xdr:rowOff>19050</xdr:rowOff>
    </xdr:from>
    <xdr:to>
      <xdr:col>14</xdr:col>
      <xdr:colOff>95250</xdr:colOff>
      <xdr:row>29</xdr:row>
      <xdr:rowOff>15240</xdr:rowOff>
    </xdr:to>
    <xdr:sp macro="" textlink="">
      <xdr:nvSpPr>
        <xdr:cNvPr id="7" name="TextBox 6">
          <a:extLst>
            <a:ext uri="{FF2B5EF4-FFF2-40B4-BE49-F238E27FC236}">
              <a16:creationId xmlns:a16="http://schemas.microsoft.com/office/drawing/2014/main" id="{44A97997-48AE-4527-A601-299374F811BF}"/>
            </a:ext>
          </a:extLst>
        </xdr:cNvPr>
        <xdr:cNvSpPr txBox="1"/>
      </xdr:nvSpPr>
      <xdr:spPr>
        <a:xfrm>
          <a:off x="171450" y="8124825"/>
          <a:ext cx="8191500" cy="108204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*Accounting for inflation: </a:t>
          </a:r>
          <a:r>
            <a:rPr lang="en-US" sz="1050" b="0">
              <a:solidFill>
                <a:schemeClr val="dk1"/>
              </a:solidFill>
              <a:effectLst/>
              <a:latin typeface="Pero" panose="020F0506020203030304" pitchFamily="34" charset="0"/>
              <a:ea typeface="+mn-ea"/>
              <a:cs typeface="+mn-cs"/>
            </a:rPr>
            <a:t>We</a:t>
          </a:r>
          <a:r>
            <a:rPr lang="en-US" sz="1050" b="0" baseline="0">
              <a:solidFill>
                <a:schemeClr val="dk1"/>
              </a:solidFill>
              <a:effectLst/>
              <a:latin typeface="Pero" panose="020F0506020203030304" pitchFamily="34" charset="0"/>
              <a:ea typeface="+mn-ea"/>
              <a:cs typeface="+mn-cs"/>
            </a:rPr>
            <a:t> present cash flows in real vaules, deflating coffee prices and labor costs (for the calculation of profts from coffee) as well as project costs back to real value in base year (2018 for C2019 and 2019 for C2020),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167640</xdr:colOff>
      <xdr:row>29</xdr:row>
      <xdr:rowOff>133349</xdr:rowOff>
    </xdr:from>
    <xdr:to>
      <xdr:col>14</xdr:col>
      <xdr:colOff>114299</xdr:colOff>
      <xdr:row>34</xdr:row>
      <xdr:rowOff>76199</xdr:rowOff>
    </xdr:to>
    <xdr:sp macro="" textlink="">
      <xdr:nvSpPr>
        <xdr:cNvPr id="4" name="TextBox 3">
          <a:extLst>
            <a:ext uri="{FF2B5EF4-FFF2-40B4-BE49-F238E27FC236}">
              <a16:creationId xmlns:a16="http://schemas.microsoft.com/office/drawing/2014/main" id="{FB4E83EF-EC5F-4AC5-8F31-1B910F267666}"/>
            </a:ext>
          </a:extLst>
        </xdr:cNvPr>
        <xdr:cNvSpPr txBox="1"/>
      </xdr:nvSpPr>
      <xdr:spPr>
        <a:xfrm>
          <a:off x="167640" y="9324974"/>
          <a:ext cx="8214359" cy="8477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latin typeface="Pero" panose="020F0506020203030304" pitchFamily="34" charset="0"/>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a:t>
          </a:r>
          <a:r>
            <a:rPr lang="en-US" sz="1050" b="0" baseline="0">
              <a:latin typeface="Pero" panose="020F0506020203030304" pitchFamily="34" charset="0"/>
            </a:rPr>
            <a:t> costs are not directly related to implementing the program and therefore exclude non-implementation/indirect costs from the considered project costs i</a:t>
          </a:r>
          <a:r>
            <a:rPr lang="en-US" sz="1050" b="0">
              <a:latin typeface="Pero" panose="020F0506020203030304" pitchFamily="34" charset="0"/>
            </a:rPr>
            <a:t>n the base case. </a:t>
          </a:r>
          <a:endParaRPr lang="en-US" sz="1050" b="0">
            <a:solidFill>
              <a:schemeClr val="dk1"/>
            </a:solidFill>
            <a:effectLst/>
            <a:latin typeface="Pero" panose="020F0506020203030304" pitchFamily="34" charset="0"/>
            <a:ea typeface="+mn-ea"/>
            <a:cs typeface="+mn-cs"/>
          </a:endParaRPr>
        </a:p>
      </xdr:txBody>
    </xdr:sp>
    <xdr:clientData/>
  </xdr:twoCellAnchor>
  <xdr:twoCellAnchor>
    <xdr:from>
      <xdr:col>0</xdr:col>
      <xdr:colOff>167639</xdr:colOff>
      <xdr:row>10</xdr:row>
      <xdr:rowOff>1047750</xdr:rowOff>
    </xdr:from>
    <xdr:to>
      <xdr:col>14</xdr:col>
      <xdr:colOff>85724</xdr:colOff>
      <xdr:row>14</xdr:row>
      <xdr:rowOff>26670</xdr:rowOff>
    </xdr:to>
    <xdr:sp macro="" textlink="">
      <xdr:nvSpPr>
        <xdr:cNvPr id="8" name="TextBox 7">
          <a:extLst>
            <a:ext uri="{FF2B5EF4-FFF2-40B4-BE49-F238E27FC236}">
              <a16:creationId xmlns:a16="http://schemas.microsoft.com/office/drawing/2014/main" id="{3C028022-96A6-4AE9-8DD4-9D9F5923A94C}"/>
            </a:ext>
          </a:extLst>
        </xdr:cNvPr>
        <xdr:cNvSpPr txBox="1"/>
      </xdr:nvSpPr>
      <xdr:spPr>
        <a:xfrm>
          <a:off x="167639" y="5886450"/>
          <a:ext cx="8185785" cy="61722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u="none" strike="noStrike" baseline="0">
              <a:solidFill>
                <a:schemeClr val="dk1"/>
              </a:solidFill>
              <a:latin typeface="Pero" panose="020F0506020203030304" pitchFamily="34" charset="0"/>
              <a:ea typeface="+mn-ea"/>
              <a:cs typeface="+mn-cs"/>
            </a:rPr>
            <a:t>*Impact measure: </a:t>
          </a:r>
          <a:r>
            <a:rPr lang="en-US" sz="1050" b="0" i="0" u="none" strike="noStrike" baseline="0">
              <a:solidFill>
                <a:schemeClr val="dk1"/>
              </a:solidFill>
              <a:latin typeface="Pero" panose="020F0506020203030304" pitchFamily="34" charset="0"/>
              <a:ea typeface="+mn-ea"/>
              <a:cs typeface="+mn-cs"/>
            </a:rPr>
            <a:t>The evaluation does not provide data on total household income. Instead, it focuses on the intermediate outcome of adoption status of agricultural best practices. We assume yield effects of practice adoption to calcuate coffee revenues, costs associated with practice adoption to calculate coffee profits.</a:t>
          </a:r>
        </a:p>
      </xdr:txBody>
    </xdr:sp>
    <xdr:clientData/>
  </xdr:twoCellAnchor>
</xdr:wsDr>
</file>

<file path=xl/persons/person.xml><?xml version="1.0" encoding="utf-8"?>
<personList xmlns="http://schemas.microsoft.com/office/spreadsheetml/2018/threadedcomments" xmlns:x="http://schemas.openxmlformats.org/spreadsheetml/2006/main">
  <person displayName="Wiegel, Sarah" id="{2B9235A7-84C9-46F8-9EBF-11ABDEB3FB74}" userId="S::swiegel@herewegrow.org::750ddbee-ee52-4a41-b292-ae74334bd7d4" providerId="AD"/>
  <person displayName="Kühling, Marlene" id="{AEEA7E2E-A0F6-493E-8538-A29E482DB941}" userId="S::mkuehling@herewegrow.org::2654acc4-f93b-4a61-a09f-215039356081"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0" dT="2026-07-01T08:24:53.30" personId="{2B9235A7-84C9-46F8-9EBF-11ABDEB3FB74}" id="{3F1013A5-A04C-4CB8-854B-C3206E2A9D53}">
    <text>0nly 50% of expected yield effect of stumping materialize</text>
  </threadedComment>
  <threadedComment ref="B31" dT="2026-07-01T08:26:54.76" personId="{2B9235A7-84C9-46F8-9EBF-11ABDEB3FB74}" id="{A989DCF2-79FC-485E-80B0-09E9B9929C71}">
    <text>Average coffee price increases by 30% or yield effect of adopting at least 4 practices increases to 30%</text>
  </threadedComment>
</ThreadedComments>
</file>

<file path=xl/threadedComments/threadedComment2.xml><?xml version="1.0" encoding="utf-8"?>
<ThreadedComments xmlns="http://schemas.microsoft.com/office/spreadsheetml/2018/threadedcomments" xmlns:x="http://schemas.openxmlformats.org/spreadsheetml/2006/main">
  <threadedComment ref="B7" dT="2025-04-23T11:28:30.20" personId="{2B9235A7-84C9-46F8-9EBF-11ABDEB3FB74}" id="{21ADC157-EA68-47DD-9C1E-5723C1E4E3F6}">
    <text>We choose as year of analysis 2021 to be able to allow for comparisons with latest international poverty lines.</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6-06-09T21:01:25.98" personId="{2B9235A7-84C9-46F8-9EBF-11ABDEB3FB74}" id="{0FDF0074-0F83-4ED3-B44E-AA3145D7A02A}">
    <text>For average coffee farm size</text>
  </threadedComment>
  <threadedComment ref="C5" dT="2025-04-17T07:30:09.63" personId="{2B9235A7-84C9-46F8-9EBF-11ABDEB3FB74}" id="{4F34A564-927B-4337-B0EE-35AC8B71233C}">
    <text>IFPRI Final Impact Report, p.39  Following UCAT, we assume a linear decay in farmers' practice adoption by 7.3% of the initial improvement per year.</text>
  </threadedComment>
  <threadedComment ref="C5" dT="2026-07-31T07:54:11.16" personId="{2B9235A7-84C9-46F8-9EBF-11ABDEB3FB74}" id="{3FBC5E65-0E99-4941-ADC5-316FFD2B4215}" parentId="{4F34A564-927B-4337-B0EE-35AC8B71233C}">
    <text xml:space="preserve">The evaluation only observes adoption rates on one plot which the farmer considers as the plot where he/she applied most practices. We assume this adoption rate applies to the whole coffee farm. </text>
  </threadedComment>
  <threadedComment ref="C8" dT="2025-04-17T07:53:34.90" personId="{2B9235A7-84C9-46F8-9EBF-11ABDEB3FB74}" id="{9721723E-1274-437F-864E-ACBFFC2F8E11}">
    <text>Additional costs for GAP adoption are so marginal that we do not include them here</text>
  </threadedComment>
  <threadedComment ref="C14" dT="2025-04-17T08:01:52.93" personId="{2B9235A7-84C9-46F8-9EBF-11ABDEB3FB74}" id="{5DB30FA3-E9F5-4D5C-849F-60DB562AC590}">
    <text>IFPRI Impact Report, p.36. This relates to the treatment effect for topic-trained households. Following UCAT, we assume a linear decay in farmers' practice adoption by 7.3% of the initial improvement per year.</text>
  </threadedComment>
  <threadedComment ref="C15" dT="2025-04-17T08:01:52.93" personId="{2B9235A7-84C9-46F8-9EBF-11ABDEB3FB74}" id="{498DE4F1-4622-49B4-A1A3-9CF92F4ABDBC}">
    <text>IFRPI data from C2019 stumping survey endline. We do not have info in which year trees were stumped. We assume that stumping occurs in training year 1 (2019) and then decays linearly by 7.3 % (UCAT study). The evidence in the Sidama project shows that most farmers try out stumping during the first year.</text>
  </threadedComment>
  <threadedComment ref="C34" dT="2025-04-17T08:40:18.21" personId="{2B9235A7-84C9-46F8-9EBF-11ABDEB3FB74}" id="{509A70AD-A0D5-4351-A2F0-256814C27F0B}">
    <text>IFPRI Impact Report, p.31  
While the C2019 evaluation was conducted right after completion of the program, the endline for C2020 was conducted one year later. Therefore, we multiply the estimated impact by 1.073 to obtain the estimated impact immediately after the program had finished.  Impact in the following years decays by 7.3%.</text>
  </threadedComment>
  <threadedComment ref="C37" dT="2025-04-17T09:27:07.84" personId="{2B9235A7-84C9-46F8-9EBF-11ABDEB3FB74}" id="{D6621494-8BA6-4136-82B8-420AE52FDD57}">
    <text>Additional costs for GAP adoption are so marginal that we do not include them here</text>
  </threadedComment>
  <threadedComment ref="C43" dT="2025-04-24T12:21:49.62" personId="{2B9235A7-84C9-46F8-9EBF-11ABDEB3FB74}" id="{FAB66F13-4CFB-4641-8B7F-55A95A4E2639}">
    <text>IFPRI Impact Report p. 36. Based on the stumping report, we assume most stumping takes playe in Yr1 and Yr2. Following UCAT, we assume a linear decay in farmers' practice adoption by 7.3% of the initial improvement per year.</text>
  </threadedComment>
  <threadedComment ref="C44" dT="2025-04-16T13:08:31.60" personId="{AEEA7E2E-A0F6-493E-8538-A29E482DB941}" id="{6A6A024B-77A2-4528-A30A-B1EF1B40CDAD}">
    <text>IFPRI Stumping Report C2020 p.36. Following UCAT, we assume a linear decay in farmers' practice adoption by 7.3% of the initial improvement per year.</text>
  </threadedComment>
  <threadedComment ref="C45" dT="2025-04-16T13:08:37.59" personId="{AEEA7E2E-A0F6-493E-8538-A29E482DB941}" id="{7D12B111-BA18-4133-ACBF-AF1C0B09CA93}">
    <text>IFPRI Stumping Report C2020, p.36. Following UCAT, we assume a linear decay in farmers' practice adoption by 7.3% of the initial improvement per year.</text>
  </threadedComment>
  <threadedComment ref="B74" dT="2026-06-09T21:06:47.59" personId="{2B9235A7-84C9-46F8-9EBF-11ABDEB3FB74}" id="{AFDB6278-9EF1-4A34-944F-9110C65D4405}">
    <text>we substract the cost of the exit component since project benefits also do not include number of stumped trees/adoption rates after exit component</text>
  </threadedComment>
  <threadedComment ref="B74" dT="2026-06-26T08:16:45.96" personId="{2B9235A7-84C9-46F8-9EBF-11ABDEB3FB74}" id="{1AF3E3B0-9DE4-42AF-BD2F-D373795C2324}" parentId="{AFDB6278-9EF1-4A34-944F-9110C65D4405}">
    <text>We substract indirect cost share from project budget. We assume indirect costs do not reflect marginal costs to replicate or expand project.</text>
  </threadedComment>
  <threadedComment ref="B106" dT="2026-06-09T20:43:49.80" personId="{2B9235A7-84C9-46F8-9EBF-11ABDEB3FB74}" id="{A3557CFE-E603-43F8-B68F-6FF868D1A4B5}">
    <text>Relative to mean hh consumption epxpenditure in SNNP</text>
  </threadedComment>
  <threadedComment ref="C106" dT="2026-06-09T20:49:38.50" personId="{2B9235A7-84C9-46F8-9EBF-11ABDEB3FB74}" id="{08E17318-BED3-44DC-B20A-092F53F7933F}">
    <text xml:space="preserve">Project-wide average hh relative income increase weighted by the number of trained households. C2019 average income change is inflated to 2019 ETB to align with consumption expenditure value. </text>
  </threadedComment>
</ThreadedComments>
</file>

<file path=xl/threadedComments/threadedComment4.xml><?xml version="1.0" encoding="utf-8"?>
<ThreadedComments xmlns="http://schemas.microsoft.com/office/spreadsheetml/2018/threadedcomments" xmlns:x="http://schemas.openxmlformats.org/spreadsheetml/2006/main">
  <threadedComment ref="B8" dT="2026-06-29T15:46:07.38" personId="{2B9235A7-84C9-46F8-9EBF-11ABDEB3FB74}" id="{2930978A-4E0B-4C8A-A5DB-6B70D22B3F22}">
    <text xml:space="preserve">This assumption indicates how much of the TNS model's projected yield value is reflected in observed field data. 100% of base means field outcomes fully match the original model assumptions; lower percentages indicate a gap between projected and observed values.
We test yield assumptions as evaluation data consistently shows lower yields than the TNS model projections. We apply a corresponding assumption to adjust the SROI calculation accordingly. This allows us to assess how sensitive the SROI estimate is to the accuracy of underlying agronomic assumptions.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DE100CE-0BA1-447E-9FFF-74BE76BB3D2E}">
  <we:reference id="WA200010725" version="1.0.0.1" store="Omex" storeType="OMEX"/>
  <we:alternateReferences>
    <we:reference id="WA200010725" version="1.0.0.1" store="WA200010725" storeType="OMEX"/>
  </we:alternateReferences>
  <we:properties>
    <we:property name="claude.fileId" value="&quot;c7da707b-aafb-4d51-bd92-defea359082c&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ifpri.org/" TargetMode="External"/><Relationship Id="rId7" Type="http://schemas.openxmlformats.org/officeDocument/2006/relationships/vmlDrawing" Target="../drawings/vmlDrawing1.vml"/><Relationship Id="rId2" Type="http://schemas.openxmlformats.org/officeDocument/2006/relationships/hyperlink" Target="https://www.laterite.com/" TargetMode="External"/><Relationship Id="rId1" Type="http://schemas.openxmlformats.org/officeDocument/2006/relationships/hyperlink" Target="https://www.technoserve.or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herewegrow.org/wp-content/uploads/2025/09/250515_IFPRI-Impact-Report-SID-TNS-CFC-Final.pdf" TargetMode="External"/><Relationship Id="rId9"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file/d/13czYppfews1nlRWHAgUT4gLdGn5NoRhB/view" TargetMode="External"/><Relationship Id="rId13" Type="http://schemas.openxmlformats.org/officeDocument/2006/relationships/hyperlink" Target="https://drive.google.com/file/d/1kpcQKbrVv_XoP0pX9LjJcgUJ-OeSrEbB/view" TargetMode="External"/><Relationship Id="rId18" Type="http://schemas.openxmlformats.org/officeDocument/2006/relationships/hyperlink" Target="https://ess.gov.et/download/2021-22-survey-report/?wpdmdl=9234&amp;refresh=6a281109282551781010697" TargetMode="External"/><Relationship Id="rId26" Type="http://schemas.microsoft.com/office/2017/10/relationships/threadedComment" Target="../threadedComments/threadedComment2.xml"/><Relationship Id="rId3" Type="http://schemas.openxmlformats.org/officeDocument/2006/relationships/hyperlink" Target="https://drive.google.com/file/d/13czYppfews1nlRWHAgUT4gLdGn5NoRhB/view" TargetMode="External"/><Relationship Id="rId21" Type="http://schemas.openxmlformats.org/officeDocument/2006/relationships/hyperlink" Target="https://www.oanda.com/currency-converter/en/?from=ETB&amp;to=EUR&amp;amount=1" TargetMode="External"/><Relationship Id="rId7" Type="http://schemas.openxmlformats.org/officeDocument/2006/relationships/hyperlink" Target="https://drive.google.com/file/d/13czYppfews1nlRWHAgUT4gLdGn5NoRhB/view" TargetMode="External"/><Relationship Id="rId12" Type="http://schemas.openxmlformats.org/officeDocument/2006/relationships/hyperlink" Target="https://drive.google.com/file/d/1kpcQKbrVv_XoP0pX9LjJcgUJ-OeSrEbB/view" TargetMode="External"/><Relationship Id="rId17" Type="http://schemas.openxmlformats.org/officeDocument/2006/relationships/hyperlink" Target="https://www.technoserve.org/wp-content/uploads/2017/04/triple-line-evaluation-of-the-coffee-initiative.pdf" TargetMode="External"/><Relationship Id="rId25" Type="http://schemas.openxmlformats.org/officeDocument/2006/relationships/comments" Target="../comments2.xml"/><Relationship Id="rId2" Type="http://schemas.openxmlformats.org/officeDocument/2006/relationships/hyperlink" Target="https://www.herewegrow.org/wp-content/uploads/2025/09/250515_IFPRI-Impact-Report-SID-TNS-CFC-Final.pdf" TargetMode="External"/><Relationship Id="rId16" Type="http://schemas.openxmlformats.org/officeDocument/2006/relationships/hyperlink" Target="https://drive.google.com/file/d/1kpcQKbrVv_XoP0pX9LjJcgUJ-OeSrEbB/view" TargetMode="External"/><Relationship Id="rId20" Type="http://schemas.openxmlformats.org/officeDocument/2006/relationships/hyperlink" Target="https://data.worldbank.org/indicator/PA.NUS.PPP?year=2008&amp;locations=ET" TargetMode="External"/><Relationship Id="rId1" Type="http://schemas.openxmlformats.org/officeDocument/2006/relationships/hyperlink" Target="https://www.imf.org/en/Publications/WEO/weo-database/2025/april/weo-report?c=644,&amp;s=NGDP_D,&amp;sy=2017&amp;ey=2030&amp;ssm=0&amp;scsm=1&amp;scc=0&amp;ssd=1&amp;ssc=0&amp;sic=0&amp;sort=country&amp;ds=.&amp;br=1" TargetMode="External"/><Relationship Id="rId6" Type="http://schemas.openxmlformats.org/officeDocument/2006/relationships/hyperlink" Target="https://drive.google.com/file/d/13czYppfews1nlRWHAgUT4gLdGn5NoRhB/view" TargetMode="External"/><Relationship Id="rId11" Type="http://schemas.openxmlformats.org/officeDocument/2006/relationships/hyperlink" Target="https://drive.google.com/file/d/1kpcQKbrVv_XoP0pX9LjJcgUJ-OeSrEbB/view" TargetMode="External"/><Relationship Id="rId24" Type="http://schemas.openxmlformats.org/officeDocument/2006/relationships/vmlDrawing" Target="../drawings/vmlDrawing2.vml"/><Relationship Id="rId5" Type="http://schemas.openxmlformats.org/officeDocument/2006/relationships/hyperlink" Target="https://drive.google.com/file/d/13czYppfews1nlRWHAgUT4gLdGn5NoRhB/view" TargetMode="External"/><Relationship Id="rId15" Type="http://schemas.openxmlformats.org/officeDocument/2006/relationships/hyperlink" Target="https://drive.google.com/file/d/1kpcQKbrVv_XoP0pX9LjJcgUJ-OeSrEbB/view" TargetMode="External"/><Relationship Id="rId23" Type="http://schemas.openxmlformats.org/officeDocument/2006/relationships/printerSettings" Target="../printerSettings/printerSettings3.bin"/><Relationship Id="rId10" Type="http://schemas.openxmlformats.org/officeDocument/2006/relationships/hyperlink" Target="https://drive.google.com/file/d/1kpcQKbrVv_XoP0pX9LjJcgUJ-OeSrEbB/view" TargetMode="External"/><Relationship Id="rId19" Type="http://schemas.openxmlformats.org/officeDocument/2006/relationships/hyperlink" Target="https://drive.google.com/file/d/13czYppfews1nlRWHAgUT4gLdGn5NoRhB/view?usp=sharing" TargetMode="External"/><Relationship Id="rId4" Type="http://schemas.openxmlformats.org/officeDocument/2006/relationships/hyperlink" Target="https://drive.google.com/file/d/13czYppfews1nlRWHAgUT4gLdGn5NoRhB/view" TargetMode="External"/><Relationship Id="rId9" Type="http://schemas.openxmlformats.org/officeDocument/2006/relationships/hyperlink" Target="https://drive.google.com/file/d/13czYppfews1nlRWHAgUT4gLdGn5NoRhB/view" TargetMode="External"/><Relationship Id="rId14" Type="http://schemas.openxmlformats.org/officeDocument/2006/relationships/hyperlink" Target="https://drive.google.com/file/d/1kpcQKbrVv_XoP0pX9LjJcgUJ-OeSrEbB/view" TargetMode="External"/><Relationship Id="rId22" Type="http://schemas.openxmlformats.org/officeDocument/2006/relationships/hyperlink" Target="https://data.worldbank.org/indicator/PA.NUS.PPP?year=2008&amp;locations=DE"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8AC2-030F-4ACD-A809-1B04428C4F68}">
  <dimension ref="A1:A3"/>
  <sheetViews>
    <sheetView workbookViewId="0">
      <selection activeCell="A5" sqref="A5"/>
    </sheetView>
  </sheetViews>
  <sheetFormatPr defaultColWidth="9.109375" defaultRowHeight="14.4" x14ac:dyDescent="0.3"/>
  <sheetData>
    <row r="1" spans="1:1" x14ac:dyDescent="0.3">
      <c r="A1" s="4" t="s">
        <v>0</v>
      </c>
    </row>
    <row r="2" spans="1:1" x14ac:dyDescent="0.3">
      <c r="A2" s="4"/>
    </row>
    <row r="3" spans="1:1" x14ac:dyDescent="0.3">
      <c r="A3" s="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25CB-70FF-4DF9-AA58-8A097E31AE61}">
  <dimension ref="A1:H94"/>
  <sheetViews>
    <sheetView showGridLines="0" zoomScaleNormal="100" workbookViewId="0">
      <selection activeCell="C98" sqref="C98"/>
    </sheetView>
  </sheetViews>
  <sheetFormatPr defaultColWidth="9.109375" defaultRowHeight="14.4" x14ac:dyDescent="0.3"/>
  <cols>
    <col min="1" max="1" width="4.44140625" style="2" customWidth="1"/>
    <col min="2" max="2" width="29.5546875" style="2" customWidth="1"/>
    <col min="3" max="3" width="58" style="1" customWidth="1"/>
    <col min="4" max="4" width="9.88671875" customWidth="1"/>
    <col min="5" max="5" width="35.6640625" customWidth="1"/>
    <col min="8" max="8" width="29.5546875" customWidth="1"/>
  </cols>
  <sheetData>
    <row r="1" spans="1:8" ht="14.4" customHeight="1" x14ac:dyDescent="0.3">
      <c r="A1" s="12"/>
      <c r="B1" s="13"/>
      <c r="C1" s="14"/>
      <c r="D1" s="15"/>
      <c r="E1" s="15"/>
      <c r="F1" s="15"/>
      <c r="G1" s="15"/>
      <c r="H1" s="16"/>
    </row>
    <row r="2" spans="1:8" ht="30" customHeight="1" x14ac:dyDescent="0.35">
      <c r="A2" s="17"/>
      <c r="B2" s="18" t="s">
        <v>2</v>
      </c>
      <c r="C2" s="19" t="s">
        <v>3</v>
      </c>
      <c r="D2" s="20"/>
      <c r="E2" s="21"/>
      <c r="F2" s="21"/>
      <c r="G2" s="21"/>
      <c r="H2" s="22"/>
    </row>
    <row r="3" spans="1:8" ht="16.5" customHeight="1" x14ac:dyDescent="0.3">
      <c r="A3" s="23"/>
      <c r="B3" s="24"/>
      <c r="C3" s="25"/>
      <c r="D3" s="21"/>
      <c r="E3" s="21"/>
      <c r="F3" s="21"/>
      <c r="G3" s="21"/>
      <c r="H3" s="22"/>
    </row>
    <row r="4" spans="1:8" ht="18" x14ac:dyDescent="0.35">
      <c r="A4" s="26"/>
      <c r="B4" s="27" t="s">
        <v>4</v>
      </c>
      <c r="C4" s="28"/>
      <c r="D4" s="29"/>
      <c r="E4" s="30"/>
      <c r="F4" s="30"/>
      <c r="G4" s="30"/>
      <c r="H4" s="31"/>
    </row>
    <row r="5" spans="1:8" ht="7.5" customHeight="1" x14ac:dyDescent="0.35">
      <c r="A5" s="32"/>
      <c r="B5" s="33"/>
      <c r="C5" s="34"/>
      <c r="D5" s="35"/>
      <c r="E5" s="21"/>
      <c r="F5" s="21"/>
      <c r="G5" s="21"/>
      <c r="H5" s="22"/>
    </row>
    <row r="6" spans="1:8" ht="18" x14ac:dyDescent="0.35">
      <c r="A6" s="32"/>
      <c r="B6" s="36" t="s">
        <v>5</v>
      </c>
      <c r="C6" s="283" t="s">
        <v>3</v>
      </c>
      <c r="D6" s="38"/>
      <c r="E6" s="21"/>
      <c r="F6" s="21"/>
      <c r="G6" s="21"/>
      <c r="H6" s="22"/>
    </row>
    <row r="7" spans="1:8" x14ac:dyDescent="0.3">
      <c r="A7" s="32"/>
      <c r="B7" s="39" t="s">
        <v>6</v>
      </c>
      <c r="C7" s="40" t="s">
        <v>7</v>
      </c>
      <c r="D7" s="41"/>
      <c r="E7" s="21"/>
      <c r="F7" s="21"/>
      <c r="G7" s="21"/>
      <c r="H7" s="22"/>
    </row>
    <row r="8" spans="1:8" x14ac:dyDescent="0.3">
      <c r="A8" s="32"/>
      <c r="B8" s="39" t="s">
        <v>8</v>
      </c>
      <c r="C8" s="40" t="s">
        <v>269</v>
      </c>
      <c r="D8" s="42" t="s">
        <v>9</v>
      </c>
      <c r="E8" s="21"/>
      <c r="F8" s="21"/>
      <c r="G8" s="21"/>
      <c r="H8" s="22"/>
    </row>
    <row r="9" spans="1:8" x14ac:dyDescent="0.3">
      <c r="A9" s="32"/>
      <c r="B9" s="39" t="s">
        <v>10</v>
      </c>
      <c r="C9" s="37" t="s">
        <v>11</v>
      </c>
      <c r="D9" s="42"/>
      <c r="E9" s="21"/>
      <c r="F9" s="21"/>
      <c r="G9" s="21"/>
      <c r="H9" s="22"/>
    </row>
    <row r="10" spans="1:8" x14ac:dyDescent="0.3">
      <c r="A10" s="32"/>
      <c r="B10" s="39" t="s">
        <v>12</v>
      </c>
      <c r="C10" s="37" t="s">
        <v>13</v>
      </c>
      <c r="D10" s="41"/>
      <c r="E10" s="21"/>
      <c r="F10" s="21"/>
      <c r="G10" s="21"/>
      <c r="H10" s="22"/>
    </row>
    <row r="11" spans="1:8" x14ac:dyDescent="0.3">
      <c r="A11" s="32"/>
      <c r="B11" s="39" t="s">
        <v>14</v>
      </c>
      <c r="C11" s="43" t="s">
        <v>15</v>
      </c>
      <c r="D11" s="41"/>
      <c r="E11" s="21"/>
      <c r="F11" s="21"/>
      <c r="G11" s="21"/>
      <c r="H11" s="22"/>
    </row>
    <row r="12" spans="1:8" ht="28.8" x14ac:dyDescent="0.3">
      <c r="A12" s="32"/>
      <c r="B12" s="39" t="s">
        <v>16</v>
      </c>
      <c r="C12" s="37" t="s">
        <v>17</v>
      </c>
      <c r="D12" s="41"/>
      <c r="E12" s="21"/>
      <c r="F12" s="21"/>
      <c r="G12" s="21"/>
      <c r="H12" s="22"/>
    </row>
    <row r="13" spans="1:8" x14ac:dyDescent="0.3">
      <c r="A13" s="32"/>
      <c r="B13" s="39" t="s">
        <v>18</v>
      </c>
      <c r="C13" s="37" t="s">
        <v>19</v>
      </c>
      <c r="D13" s="41"/>
      <c r="E13" s="21"/>
      <c r="F13" s="21"/>
      <c r="G13" s="21"/>
      <c r="H13" s="22"/>
    </row>
    <row r="14" spans="1:8" x14ac:dyDescent="0.3">
      <c r="A14" s="32"/>
      <c r="B14" s="39" t="s">
        <v>20</v>
      </c>
      <c r="C14" s="37" t="s">
        <v>21</v>
      </c>
      <c r="D14" s="41"/>
      <c r="E14" s="21"/>
      <c r="F14" s="21"/>
      <c r="G14" s="21"/>
      <c r="H14" s="22"/>
    </row>
    <row r="15" spans="1:8" x14ac:dyDescent="0.3">
      <c r="A15" s="32"/>
      <c r="B15" s="39" t="s">
        <v>22</v>
      </c>
      <c r="C15" s="44">
        <v>46204</v>
      </c>
      <c r="D15" s="41"/>
      <c r="E15" s="21"/>
      <c r="F15" s="21"/>
      <c r="G15" s="21"/>
      <c r="H15" s="22"/>
    </row>
    <row r="16" spans="1:8" x14ac:dyDescent="0.3">
      <c r="A16" s="32"/>
      <c r="B16" s="39" t="s">
        <v>23</v>
      </c>
      <c r="C16" s="44" t="s">
        <v>24</v>
      </c>
      <c r="D16" s="41"/>
      <c r="E16" s="21"/>
      <c r="F16" s="21"/>
      <c r="G16" s="21"/>
      <c r="H16" s="22"/>
    </row>
    <row r="17" spans="1:8" ht="70.2" customHeight="1" x14ac:dyDescent="0.3">
      <c r="A17" s="32"/>
      <c r="B17" s="45"/>
      <c r="C17" s="25"/>
      <c r="D17" s="21"/>
      <c r="E17" s="21"/>
      <c r="F17" s="21"/>
      <c r="G17" s="21"/>
      <c r="H17" s="22"/>
    </row>
    <row r="18" spans="1:8" ht="18" x14ac:dyDescent="0.35">
      <c r="A18" s="26"/>
      <c r="B18" s="27" t="s">
        <v>25</v>
      </c>
      <c r="C18" s="28"/>
      <c r="D18" s="29"/>
      <c r="E18" s="29"/>
      <c r="F18" s="29"/>
      <c r="G18" s="29"/>
      <c r="H18" s="46"/>
    </row>
    <row r="19" spans="1:8" ht="7.2" customHeight="1" x14ac:dyDescent="0.35">
      <c r="A19" s="47"/>
      <c r="B19" s="33"/>
      <c r="C19" s="34"/>
      <c r="D19" s="35"/>
      <c r="E19" s="21"/>
      <c r="F19" s="21"/>
      <c r="G19" s="21"/>
      <c r="H19" s="22"/>
    </row>
    <row r="20" spans="1:8" ht="18" x14ac:dyDescent="0.35">
      <c r="A20" s="48"/>
      <c r="B20" s="49" t="s">
        <v>26</v>
      </c>
      <c r="C20" s="227">
        <f>SROI!C112</f>
        <v>1.1861025860905248</v>
      </c>
      <c r="D20" s="21"/>
      <c r="E20" s="21"/>
      <c r="F20" s="21"/>
      <c r="G20" s="21"/>
      <c r="H20" s="22"/>
    </row>
    <row r="21" spans="1:8" ht="15.6" customHeight="1" x14ac:dyDescent="0.3">
      <c r="A21" s="48"/>
      <c r="B21" s="39" t="s">
        <v>27</v>
      </c>
      <c r="C21" s="37" t="s">
        <v>28</v>
      </c>
      <c r="D21" s="21"/>
      <c r="E21" s="21"/>
      <c r="F21" s="21"/>
      <c r="G21" s="21"/>
      <c r="H21" s="22"/>
    </row>
    <row r="22" spans="1:8" ht="24" customHeight="1" x14ac:dyDescent="0.3">
      <c r="A22" s="50"/>
      <c r="B22" s="51" t="s">
        <v>29</v>
      </c>
      <c r="C22" s="25"/>
      <c r="D22" s="21"/>
      <c r="E22" s="21"/>
      <c r="F22" s="21"/>
      <c r="G22" s="21"/>
      <c r="H22" s="22"/>
    </row>
    <row r="23" spans="1:8" x14ac:dyDescent="0.3">
      <c r="A23" s="23"/>
      <c r="B23" s="52" t="s">
        <v>30</v>
      </c>
      <c r="C23" s="228">
        <f>SROI!C110</f>
        <v>1.3052352752379031</v>
      </c>
      <c r="D23" s="53"/>
      <c r="E23" s="21"/>
      <c r="F23" s="21"/>
      <c r="G23" s="21"/>
      <c r="H23" s="22"/>
    </row>
    <row r="24" spans="1:8" x14ac:dyDescent="0.3">
      <c r="A24" s="23"/>
      <c r="B24" s="52" t="s">
        <v>31</v>
      </c>
      <c r="C24" s="228">
        <f>SROI!C111</f>
        <v>1.1233607568004944</v>
      </c>
      <c r="D24" s="21"/>
      <c r="E24" s="21"/>
      <c r="F24" s="21"/>
      <c r="G24" s="21"/>
      <c r="H24" s="22"/>
    </row>
    <row r="25" spans="1:8" x14ac:dyDescent="0.3">
      <c r="A25" s="50"/>
      <c r="B25" s="45"/>
      <c r="C25" s="25"/>
      <c r="D25" s="21"/>
      <c r="E25" s="21"/>
      <c r="F25" s="21"/>
      <c r="G25" s="21"/>
      <c r="H25" s="22"/>
    </row>
    <row r="26" spans="1:8" x14ac:dyDescent="0.3">
      <c r="A26" s="50"/>
      <c r="B26" s="39" t="s">
        <v>32</v>
      </c>
      <c r="C26" s="37" t="s">
        <v>33</v>
      </c>
      <c r="D26" s="21"/>
      <c r="E26" s="21"/>
      <c r="F26" s="21"/>
      <c r="G26" s="21"/>
      <c r="H26" s="22"/>
    </row>
    <row r="27" spans="1:8" x14ac:dyDescent="0.3">
      <c r="A27" s="50"/>
      <c r="B27" s="39" t="s">
        <v>272</v>
      </c>
      <c r="C27" s="191" t="s">
        <v>79</v>
      </c>
      <c r="D27" s="21"/>
      <c r="E27" s="21"/>
      <c r="F27" s="21"/>
      <c r="G27" s="21"/>
      <c r="H27" s="22"/>
    </row>
    <row r="28" spans="1:8" x14ac:dyDescent="0.3">
      <c r="A28" s="50"/>
      <c r="B28" s="45"/>
      <c r="C28" s="25"/>
      <c r="D28" s="21"/>
      <c r="E28" s="21"/>
      <c r="F28" s="21"/>
      <c r="G28" s="21"/>
      <c r="H28" s="22"/>
    </row>
    <row r="29" spans="1:8" ht="40.799999999999997" x14ac:dyDescent="0.3">
      <c r="A29" s="50"/>
      <c r="B29" s="229" t="s">
        <v>259</v>
      </c>
      <c r="C29" s="272" t="s">
        <v>260</v>
      </c>
      <c r="D29" s="21"/>
      <c r="E29" s="21"/>
      <c r="F29" s="21"/>
      <c r="G29" s="21"/>
      <c r="H29" s="22"/>
    </row>
    <row r="30" spans="1:8" x14ac:dyDescent="0.3">
      <c r="A30" s="50"/>
      <c r="B30" s="230" t="s">
        <v>257</v>
      </c>
      <c r="C30" s="231">
        <v>0.1</v>
      </c>
      <c r="D30" s="21"/>
      <c r="E30" s="21"/>
      <c r="F30" s="21"/>
      <c r="G30" s="21"/>
      <c r="H30" s="22"/>
    </row>
    <row r="31" spans="1:8" x14ac:dyDescent="0.3">
      <c r="A31" s="50"/>
      <c r="B31" s="230" t="s">
        <v>258</v>
      </c>
      <c r="C31" s="231">
        <v>1.6</v>
      </c>
      <c r="D31" s="21"/>
      <c r="E31" s="21"/>
      <c r="F31" s="21"/>
      <c r="G31" s="21"/>
      <c r="H31" s="22"/>
    </row>
    <row r="32" spans="1:8" x14ac:dyDescent="0.3">
      <c r="A32" s="50"/>
      <c r="B32" s="45"/>
      <c r="C32" s="25"/>
      <c r="D32" s="21"/>
      <c r="E32" s="21"/>
      <c r="F32" s="21"/>
      <c r="G32" s="21"/>
      <c r="H32" s="22"/>
    </row>
    <row r="33" spans="1:8" ht="18" x14ac:dyDescent="0.35">
      <c r="A33" s="26"/>
      <c r="B33" s="27" t="s">
        <v>273</v>
      </c>
      <c r="C33" s="28"/>
      <c r="D33" s="29"/>
      <c r="E33" s="30"/>
      <c r="F33" s="30"/>
      <c r="G33" s="30"/>
      <c r="H33" s="31"/>
    </row>
    <row r="34" spans="1:8" ht="7.5" customHeight="1" x14ac:dyDescent="0.35">
      <c r="A34" s="47"/>
      <c r="B34" s="33"/>
      <c r="C34" s="34"/>
      <c r="D34" s="35"/>
      <c r="E34" s="21"/>
      <c r="F34" s="21"/>
      <c r="G34" s="21"/>
      <c r="H34" s="22"/>
    </row>
    <row r="35" spans="1:8" ht="28.8" x14ac:dyDescent="0.3">
      <c r="A35" s="50"/>
      <c r="B35" s="39" t="s">
        <v>34</v>
      </c>
      <c r="C35" s="37" t="s">
        <v>35</v>
      </c>
      <c r="D35" s="21"/>
      <c r="E35" s="21"/>
      <c r="F35" s="21"/>
      <c r="G35" s="21"/>
      <c r="H35" s="22"/>
    </row>
    <row r="36" spans="1:8" x14ac:dyDescent="0.3">
      <c r="A36" s="50"/>
      <c r="B36" s="39" t="s">
        <v>36</v>
      </c>
      <c r="C36" s="37" t="s">
        <v>37</v>
      </c>
      <c r="D36" s="21"/>
      <c r="E36" s="21"/>
      <c r="F36" s="21"/>
      <c r="G36" s="21"/>
      <c r="H36" s="22"/>
    </row>
    <row r="37" spans="1:8" x14ac:dyDescent="0.3">
      <c r="A37" s="50"/>
      <c r="B37" s="39" t="s">
        <v>38</v>
      </c>
      <c r="C37" s="37" t="s">
        <v>39</v>
      </c>
      <c r="D37" s="21"/>
      <c r="E37" s="21"/>
      <c r="F37" s="21"/>
      <c r="G37" s="21"/>
      <c r="H37" s="22"/>
    </row>
    <row r="38" spans="1:8" x14ac:dyDescent="0.3">
      <c r="A38" s="50"/>
      <c r="B38" s="39" t="s">
        <v>40</v>
      </c>
      <c r="C38" s="37" t="s">
        <v>41</v>
      </c>
      <c r="D38" s="21"/>
      <c r="E38" s="21"/>
      <c r="F38" s="21"/>
      <c r="G38" s="21"/>
      <c r="H38" s="22"/>
    </row>
    <row r="39" spans="1:8" x14ac:dyDescent="0.3">
      <c r="A39" s="50"/>
      <c r="B39" s="39"/>
      <c r="C39" s="37" t="s">
        <v>42</v>
      </c>
      <c r="D39" s="21"/>
      <c r="E39" s="21"/>
      <c r="F39" s="21"/>
      <c r="G39" s="21"/>
      <c r="H39" s="22"/>
    </row>
    <row r="40" spans="1:8" ht="30.6" customHeight="1" x14ac:dyDescent="0.3">
      <c r="A40" s="50"/>
      <c r="B40" s="39" t="s">
        <v>43</v>
      </c>
      <c r="C40" s="37" t="s">
        <v>44</v>
      </c>
      <c r="D40" s="21"/>
      <c r="E40" s="21"/>
      <c r="F40" s="21"/>
      <c r="G40" s="21"/>
      <c r="H40" s="22"/>
    </row>
    <row r="41" spans="1:8" x14ac:dyDescent="0.3">
      <c r="A41" s="50"/>
      <c r="B41" s="39" t="s">
        <v>45</v>
      </c>
      <c r="C41" s="37" t="s">
        <v>270</v>
      </c>
      <c r="D41" s="21"/>
      <c r="E41" s="21"/>
      <c r="F41" s="21"/>
      <c r="G41" s="21"/>
      <c r="H41" s="22"/>
    </row>
    <row r="42" spans="1:8" x14ac:dyDescent="0.3">
      <c r="A42" s="23"/>
      <c r="B42" s="24"/>
      <c r="C42" s="25"/>
      <c r="D42" s="21"/>
      <c r="E42" s="21"/>
      <c r="F42" s="21"/>
      <c r="G42" s="21"/>
      <c r="H42" s="22"/>
    </row>
    <row r="43" spans="1:8" ht="18" x14ac:dyDescent="0.35">
      <c r="A43" s="26"/>
      <c r="B43" s="27" t="s">
        <v>46</v>
      </c>
      <c r="C43" s="28"/>
      <c r="D43" s="29"/>
      <c r="E43" s="30"/>
      <c r="F43" s="30"/>
      <c r="G43" s="30"/>
      <c r="H43" s="31"/>
    </row>
    <row r="44" spans="1:8" ht="7.5" customHeight="1" x14ac:dyDescent="0.35">
      <c r="A44" s="47"/>
      <c r="B44" s="33"/>
      <c r="C44" s="34"/>
      <c r="D44" s="35"/>
      <c r="E44" s="21"/>
      <c r="F44" s="21"/>
      <c r="G44" s="21"/>
      <c r="H44" s="22"/>
    </row>
    <row r="45" spans="1:8" ht="18" x14ac:dyDescent="0.35">
      <c r="A45" s="50"/>
      <c r="B45" s="45" t="s">
        <v>47</v>
      </c>
      <c r="C45" s="34"/>
      <c r="D45" s="35"/>
      <c r="E45" s="21"/>
      <c r="F45" s="21"/>
      <c r="G45" s="21"/>
      <c r="H45" s="22"/>
    </row>
    <row r="46" spans="1:8" ht="31.2" customHeight="1" x14ac:dyDescent="0.3">
      <c r="A46" s="50"/>
      <c r="B46" s="39" t="s">
        <v>48</v>
      </c>
      <c r="C46" s="370" t="s">
        <v>49</v>
      </c>
      <c r="D46" s="371"/>
      <c r="E46" s="371"/>
      <c r="F46" s="371"/>
      <c r="G46" s="371"/>
      <c r="H46" s="372"/>
    </row>
    <row r="47" spans="1:8" ht="48" customHeight="1" x14ac:dyDescent="0.3">
      <c r="A47" s="50"/>
      <c r="B47" s="39" t="s">
        <v>50</v>
      </c>
      <c r="C47" s="370" t="s">
        <v>51</v>
      </c>
      <c r="D47" s="371"/>
      <c r="E47" s="371"/>
      <c r="F47" s="371"/>
      <c r="G47" s="371"/>
      <c r="H47" s="372"/>
    </row>
    <row r="48" spans="1:8" ht="34.200000000000003" customHeight="1" x14ac:dyDescent="0.3">
      <c r="A48" s="50"/>
      <c r="B48" s="39" t="s">
        <v>52</v>
      </c>
      <c r="C48" s="370" t="s">
        <v>53</v>
      </c>
      <c r="D48" s="371"/>
      <c r="E48" s="371"/>
      <c r="F48" s="371"/>
      <c r="G48" s="371"/>
      <c r="H48" s="372"/>
    </row>
    <row r="49" spans="1:8" x14ac:dyDescent="0.3">
      <c r="A49" s="50"/>
      <c r="B49" s="45"/>
      <c r="C49" s="25"/>
      <c r="D49" s="21"/>
      <c r="E49" s="21"/>
      <c r="F49" s="21"/>
      <c r="G49" s="21"/>
      <c r="H49" s="22"/>
    </row>
    <row r="50" spans="1:8" ht="18" x14ac:dyDescent="0.35">
      <c r="A50" s="26"/>
      <c r="B50" s="27" t="s">
        <v>54</v>
      </c>
      <c r="C50" s="28"/>
      <c r="D50" s="29"/>
      <c r="E50" s="30"/>
      <c r="F50" s="30"/>
      <c r="G50" s="30"/>
      <c r="H50" s="31"/>
    </row>
    <row r="51" spans="1:8" x14ac:dyDescent="0.3">
      <c r="A51" s="50"/>
      <c r="B51" s="45"/>
      <c r="C51" s="25"/>
      <c r="D51" s="21"/>
      <c r="E51" s="21"/>
      <c r="F51" s="21"/>
      <c r="G51" s="21"/>
      <c r="H51" s="22"/>
    </row>
    <row r="52" spans="1:8" x14ac:dyDescent="0.3">
      <c r="A52" s="50"/>
      <c r="B52" s="45"/>
      <c r="C52" s="25"/>
      <c r="D52" s="21"/>
      <c r="E52" s="21"/>
      <c r="F52" s="21"/>
      <c r="G52" s="21"/>
      <c r="H52" s="22"/>
    </row>
    <row r="53" spans="1:8" x14ac:dyDescent="0.3">
      <c r="A53" s="50"/>
      <c r="B53" s="54" t="s">
        <v>55</v>
      </c>
      <c r="C53" s="55">
        <f>SROI!C102</f>
        <v>39.210433663691276</v>
      </c>
      <c r="D53" s="4"/>
      <c r="E53" s="54"/>
      <c r="F53" s="54" t="s">
        <v>56</v>
      </c>
      <c r="G53" s="54" t="s">
        <v>57</v>
      </c>
      <c r="H53" s="22"/>
    </row>
    <row r="54" spans="1:8" x14ac:dyDescent="0.3">
      <c r="A54" s="56"/>
      <c r="B54" s="54" t="s">
        <v>58</v>
      </c>
      <c r="C54" s="55">
        <f>SROI!C103</f>
        <v>70.929463594562591</v>
      </c>
      <c r="D54" s="4"/>
      <c r="E54" s="54" t="s">
        <v>59</v>
      </c>
      <c r="F54" s="55">
        <f>SUM(SROI!E13:N13)</f>
        <v>12.030550874162508</v>
      </c>
      <c r="G54" s="55">
        <f>SUM(SROI!F42:O42)</f>
        <v>7.4132869523024265</v>
      </c>
      <c r="H54" s="22"/>
    </row>
    <row r="55" spans="1:8" x14ac:dyDescent="0.3">
      <c r="A55" s="56"/>
      <c r="B55" s="57" t="s">
        <v>60</v>
      </c>
      <c r="C55" s="55">
        <f>SROI!C104</f>
        <v>54.265041402920204</v>
      </c>
      <c r="D55" s="4"/>
      <c r="E55" s="54" t="s">
        <v>61</v>
      </c>
      <c r="F55" s="55">
        <f>SUM(SROI!E27:N27)</f>
        <v>27.179882789528772</v>
      </c>
      <c r="G55" s="55">
        <f>SUM(SROI!F56:O56)</f>
        <v>63.516176642260163</v>
      </c>
      <c r="H55" s="22"/>
    </row>
    <row r="56" spans="1:8" x14ac:dyDescent="0.3">
      <c r="A56" s="56"/>
      <c r="B56" s="54" t="s">
        <v>62</v>
      </c>
      <c r="C56" s="55">
        <f>SROI!C91</f>
        <v>40.61897900619693</v>
      </c>
      <c r="D56" s="54"/>
      <c r="E56" s="58"/>
      <c r="F56" s="58"/>
      <c r="G56" s="21"/>
      <c r="H56" s="22"/>
    </row>
    <row r="57" spans="1:8" x14ac:dyDescent="0.3">
      <c r="A57" s="50"/>
      <c r="B57" s="45" t="s">
        <v>63</v>
      </c>
      <c r="C57" s="55">
        <f>SROI!C104-Summary!C56</f>
        <v>13.646062396723273</v>
      </c>
      <c r="D57" s="21"/>
      <c r="E57" s="21"/>
      <c r="F57" s="21"/>
      <c r="G57" s="21"/>
      <c r="H57" s="22"/>
    </row>
    <row r="58" spans="1:8" x14ac:dyDescent="0.3">
      <c r="A58" s="50"/>
      <c r="B58" s="45"/>
      <c r="C58" s="25"/>
      <c r="D58" s="21"/>
      <c r="E58" s="21"/>
      <c r="F58" s="21"/>
      <c r="G58" s="21"/>
      <c r="H58" s="22"/>
    </row>
    <row r="59" spans="1:8" x14ac:dyDescent="0.3">
      <c r="A59" s="23"/>
      <c r="B59" s="24"/>
      <c r="C59" s="25"/>
      <c r="D59" s="21"/>
      <c r="E59" s="21"/>
      <c r="F59" s="21"/>
      <c r="G59" s="21"/>
      <c r="H59" s="22"/>
    </row>
    <row r="60" spans="1:8" x14ac:dyDescent="0.3">
      <c r="A60" s="23"/>
      <c r="B60" s="24"/>
      <c r="C60" s="25"/>
      <c r="D60" s="21"/>
      <c r="E60" s="21"/>
      <c r="F60" s="21"/>
      <c r="G60" s="21"/>
      <c r="H60" s="22"/>
    </row>
    <row r="61" spans="1:8" x14ac:dyDescent="0.3">
      <c r="A61" s="23"/>
      <c r="B61" s="24"/>
      <c r="C61" s="25"/>
      <c r="D61" s="21"/>
      <c r="E61" s="21"/>
      <c r="F61" s="21"/>
      <c r="G61" s="21"/>
      <c r="H61" s="22"/>
    </row>
    <row r="62" spans="1:8" x14ac:dyDescent="0.3">
      <c r="A62" s="23"/>
      <c r="B62" s="24"/>
      <c r="C62" s="25"/>
      <c r="D62" s="21"/>
      <c r="E62" s="21"/>
      <c r="F62" s="21"/>
      <c r="G62" s="21"/>
      <c r="H62" s="22"/>
    </row>
    <row r="63" spans="1:8" x14ac:dyDescent="0.3">
      <c r="A63" s="23"/>
      <c r="B63" s="24"/>
      <c r="C63" s="25"/>
      <c r="D63" s="21"/>
      <c r="E63" s="21"/>
      <c r="F63" s="21"/>
      <c r="G63" s="21"/>
      <c r="H63" s="22"/>
    </row>
    <row r="64" spans="1:8" x14ac:dyDescent="0.3">
      <c r="A64" s="23"/>
      <c r="B64" s="24"/>
      <c r="C64" s="25"/>
      <c r="D64" s="21"/>
      <c r="E64" s="21"/>
      <c r="F64" s="21"/>
      <c r="G64" s="21"/>
      <c r="H64" s="22"/>
    </row>
    <row r="65" spans="1:8" x14ac:dyDescent="0.3">
      <c r="A65" s="23"/>
      <c r="B65" s="24"/>
      <c r="C65" s="25"/>
      <c r="D65" s="21"/>
      <c r="E65" s="21"/>
      <c r="F65" s="21"/>
      <c r="G65" s="21"/>
      <c r="H65" s="22"/>
    </row>
    <row r="66" spans="1:8" x14ac:dyDescent="0.3">
      <c r="A66" s="23"/>
      <c r="B66" s="24"/>
      <c r="C66" s="25"/>
      <c r="D66" s="21"/>
      <c r="E66" s="21"/>
      <c r="F66" s="21"/>
      <c r="G66" s="21"/>
      <c r="H66" s="22"/>
    </row>
    <row r="67" spans="1:8" x14ac:dyDescent="0.3">
      <c r="A67" s="23"/>
      <c r="B67" s="24"/>
      <c r="C67" s="25"/>
      <c r="D67" s="21"/>
      <c r="E67" s="21"/>
      <c r="F67" s="21"/>
      <c r="G67" s="21"/>
      <c r="H67" s="22"/>
    </row>
    <row r="68" spans="1:8" x14ac:dyDescent="0.3">
      <c r="A68" s="23"/>
      <c r="B68" s="24"/>
      <c r="C68" s="25"/>
      <c r="D68" s="21"/>
      <c r="E68" s="21"/>
      <c r="F68" s="21"/>
      <c r="G68" s="21"/>
      <c r="H68" s="22"/>
    </row>
    <row r="69" spans="1:8" x14ac:dyDescent="0.3">
      <c r="A69" s="23"/>
      <c r="B69" s="24"/>
      <c r="C69" s="25"/>
      <c r="D69" s="21"/>
      <c r="E69" s="21"/>
      <c r="F69" s="21"/>
      <c r="G69" s="21"/>
      <c r="H69" s="22"/>
    </row>
    <row r="70" spans="1:8" x14ac:dyDescent="0.3">
      <c r="A70" s="23"/>
      <c r="B70" s="24"/>
      <c r="C70" s="25"/>
      <c r="D70" s="21"/>
      <c r="E70" s="21"/>
      <c r="F70" s="21"/>
      <c r="G70" s="21"/>
      <c r="H70" s="22"/>
    </row>
    <row r="71" spans="1:8" x14ac:dyDescent="0.3">
      <c r="A71" s="23"/>
      <c r="B71" s="24"/>
      <c r="C71" s="25"/>
      <c r="D71" s="21"/>
      <c r="E71" s="21"/>
      <c r="F71" s="21"/>
      <c r="G71" s="21"/>
      <c r="H71" s="22"/>
    </row>
    <row r="72" spans="1:8" ht="18" x14ac:dyDescent="0.35">
      <c r="A72" s="374"/>
      <c r="B72" s="373" t="s">
        <v>64</v>
      </c>
      <c r="C72" s="59" t="s">
        <v>65</v>
      </c>
      <c r="D72" s="55">
        <f>SROI!C88</f>
        <v>669220.98053689278</v>
      </c>
      <c r="E72" s="21"/>
      <c r="F72" s="21"/>
      <c r="G72" s="21"/>
      <c r="H72" s="22"/>
    </row>
    <row r="73" spans="1:8" ht="18" x14ac:dyDescent="0.35">
      <c r="A73" s="374"/>
      <c r="B73" s="373"/>
      <c r="C73" s="59" t="s">
        <v>66</v>
      </c>
      <c r="D73" s="55">
        <f>SROI!C96</f>
        <v>873490.83072605054</v>
      </c>
      <c r="E73" s="21"/>
      <c r="F73" s="21"/>
      <c r="G73" s="21"/>
      <c r="H73" s="22"/>
    </row>
    <row r="74" spans="1:8" ht="18" x14ac:dyDescent="0.35">
      <c r="A74" s="374"/>
      <c r="B74" s="373"/>
      <c r="C74" s="59" t="s">
        <v>67</v>
      </c>
      <c r="D74" s="55">
        <f>SROI!C97</f>
        <v>204269.85018915776</v>
      </c>
      <c r="E74" s="21"/>
      <c r="F74" s="21"/>
      <c r="G74" s="21"/>
      <c r="H74" s="22"/>
    </row>
    <row r="75" spans="1:8" ht="18" x14ac:dyDescent="0.35">
      <c r="A75" s="374"/>
      <c r="B75" s="373" t="s">
        <v>68</v>
      </c>
      <c r="C75" s="59" t="s">
        <v>65</v>
      </c>
      <c r="D75" s="55">
        <f>SROI!C89</f>
        <v>1270700.8378200664</v>
      </c>
      <c r="E75" s="21"/>
      <c r="F75" s="21"/>
      <c r="G75" s="21"/>
      <c r="H75" s="22"/>
    </row>
    <row r="76" spans="1:8" ht="18" x14ac:dyDescent="0.35">
      <c r="A76" s="374"/>
      <c r="B76" s="373"/>
      <c r="C76" s="59" t="s">
        <v>66</v>
      </c>
      <c r="D76" s="55">
        <f>SROI!C98</f>
        <v>1427455.4548405721</v>
      </c>
      <c r="E76" s="21"/>
      <c r="F76" s="21"/>
      <c r="G76" s="21"/>
      <c r="H76" s="22"/>
    </row>
    <row r="77" spans="1:8" ht="18" x14ac:dyDescent="0.35">
      <c r="A77" s="374"/>
      <c r="B77" s="373"/>
      <c r="C77" s="59" t="s">
        <v>67</v>
      </c>
      <c r="D77" s="55">
        <f>SROI!C99</f>
        <v>156754.61702050571</v>
      </c>
      <c r="E77" s="21"/>
      <c r="F77" s="21"/>
      <c r="G77" s="21"/>
      <c r="H77" s="22"/>
    </row>
    <row r="78" spans="1:8" ht="18" x14ac:dyDescent="0.35">
      <c r="A78" s="374"/>
      <c r="B78" s="373" t="s">
        <v>69</v>
      </c>
      <c r="C78" s="59" t="s">
        <v>65</v>
      </c>
      <c r="D78" s="55">
        <f>SROI!C90</f>
        <v>1939921.8183569591</v>
      </c>
      <c r="E78" s="21"/>
      <c r="F78" s="21"/>
      <c r="G78" s="21"/>
      <c r="H78" s="22"/>
    </row>
    <row r="79" spans="1:8" ht="18" x14ac:dyDescent="0.35">
      <c r="A79" s="374"/>
      <c r="B79" s="373"/>
      <c r="C79" s="59" t="s">
        <v>66</v>
      </c>
      <c r="D79" s="55">
        <f>SROI!C100</f>
        <v>2300946.2855666224</v>
      </c>
      <c r="E79" s="21"/>
      <c r="F79" s="21"/>
      <c r="G79" s="21"/>
      <c r="H79" s="22"/>
    </row>
    <row r="80" spans="1:8" ht="18" x14ac:dyDescent="0.35">
      <c r="A80" s="374"/>
      <c r="B80" s="373"/>
      <c r="C80" s="59" t="s">
        <v>67</v>
      </c>
      <c r="D80" s="55">
        <f>SROI!C101</f>
        <v>361024.46720966324</v>
      </c>
      <c r="E80" s="21"/>
      <c r="F80" s="21"/>
      <c r="G80" s="21"/>
      <c r="H80" s="22"/>
    </row>
    <row r="81" spans="1:8" x14ac:dyDescent="0.3">
      <c r="A81" s="23"/>
      <c r="B81" s="24"/>
      <c r="C81" s="25"/>
      <c r="D81" s="21"/>
      <c r="E81" s="21"/>
      <c r="F81" s="21"/>
      <c r="G81" s="21"/>
      <c r="H81" s="22"/>
    </row>
    <row r="82" spans="1:8" x14ac:dyDescent="0.3">
      <c r="A82" s="23"/>
      <c r="B82" s="24"/>
      <c r="C82" s="25"/>
      <c r="D82" s="21"/>
      <c r="E82" s="21"/>
      <c r="F82" s="21"/>
      <c r="G82" s="21"/>
      <c r="H82" s="22"/>
    </row>
    <row r="83" spans="1:8" x14ac:dyDescent="0.3">
      <c r="A83" s="23"/>
      <c r="B83" s="24"/>
      <c r="C83" s="25"/>
      <c r="D83" s="21"/>
      <c r="E83" s="21"/>
      <c r="F83" s="21"/>
      <c r="G83" s="21"/>
      <c r="H83" s="22"/>
    </row>
    <row r="84" spans="1:8" x14ac:dyDescent="0.3">
      <c r="A84" s="23"/>
      <c r="B84" s="24"/>
      <c r="C84" s="25"/>
      <c r="D84" s="21"/>
      <c r="E84" s="21"/>
      <c r="F84" s="21"/>
      <c r="G84" s="21"/>
      <c r="H84" s="22"/>
    </row>
    <row r="85" spans="1:8" x14ac:dyDescent="0.3">
      <c r="A85" s="23"/>
      <c r="B85" s="24"/>
      <c r="C85" s="25"/>
      <c r="D85" s="21"/>
      <c r="E85" s="21"/>
      <c r="F85" s="21"/>
      <c r="G85" s="21"/>
      <c r="H85" s="22"/>
    </row>
    <row r="86" spans="1:8" x14ac:dyDescent="0.3">
      <c r="A86" s="23"/>
      <c r="B86" s="24"/>
      <c r="C86" s="25"/>
      <c r="D86" s="21"/>
      <c r="E86" s="21"/>
      <c r="F86" s="21"/>
      <c r="G86" s="21"/>
      <c r="H86" s="22"/>
    </row>
    <row r="87" spans="1:8" x14ac:dyDescent="0.3">
      <c r="A87" s="23"/>
      <c r="B87" s="24"/>
      <c r="C87" s="25"/>
      <c r="D87" s="21"/>
      <c r="E87" s="21"/>
      <c r="F87" s="21"/>
      <c r="G87" s="21"/>
      <c r="H87" s="22"/>
    </row>
    <row r="88" spans="1:8" x14ac:dyDescent="0.3">
      <c r="A88" s="23"/>
      <c r="B88" s="24"/>
      <c r="C88" s="25"/>
      <c r="D88" s="21"/>
      <c r="E88" s="21"/>
      <c r="F88" s="21"/>
      <c r="G88" s="21"/>
      <c r="H88" s="22"/>
    </row>
    <row r="89" spans="1:8" x14ac:dyDescent="0.3">
      <c r="A89" s="23"/>
      <c r="B89" s="24"/>
      <c r="C89" s="25"/>
      <c r="D89" s="21"/>
      <c r="E89" s="21"/>
      <c r="F89" s="21"/>
      <c r="G89" s="21"/>
      <c r="H89" s="22"/>
    </row>
    <row r="90" spans="1:8" x14ac:dyDescent="0.3">
      <c r="A90" s="23"/>
      <c r="B90" s="24"/>
      <c r="C90" s="25"/>
      <c r="D90" s="21"/>
      <c r="E90" s="21"/>
      <c r="F90" s="21"/>
      <c r="G90" s="21"/>
      <c r="H90" s="22"/>
    </row>
    <row r="91" spans="1:8" x14ac:dyDescent="0.3">
      <c r="A91" s="23"/>
      <c r="B91" s="24"/>
      <c r="C91" s="25"/>
      <c r="D91" s="21"/>
      <c r="E91" s="21"/>
      <c r="F91" s="21"/>
      <c r="G91" s="21"/>
      <c r="H91" s="22"/>
    </row>
    <row r="92" spans="1:8" x14ac:dyDescent="0.3">
      <c r="A92" s="23"/>
      <c r="B92" s="24"/>
      <c r="C92" s="25"/>
      <c r="D92" s="21"/>
      <c r="E92" s="21"/>
      <c r="F92" s="21"/>
      <c r="G92" s="21"/>
      <c r="H92" s="22"/>
    </row>
    <row r="93" spans="1:8" x14ac:dyDescent="0.3">
      <c r="A93" s="23"/>
      <c r="B93" s="24"/>
      <c r="C93" s="25"/>
      <c r="D93" s="21"/>
      <c r="E93" s="21"/>
      <c r="F93" s="21"/>
      <c r="G93" s="21"/>
      <c r="H93" s="22"/>
    </row>
    <row r="94" spans="1:8" x14ac:dyDescent="0.3">
      <c r="A94" s="60"/>
      <c r="B94" s="355" t="s">
        <v>294</v>
      </c>
      <c r="C94" s="61"/>
      <c r="D94" s="62"/>
      <c r="E94" s="62"/>
      <c r="F94" s="62"/>
      <c r="G94" s="62"/>
      <c r="H94" s="63"/>
    </row>
  </sheetData>
  <mergeCells count="9">
    <mergeCell ref="C46:H46"/>
    <mergeCell ref="C47:H47"/>
    <mergeCell ref="C48:H48"/>
    <mergeCell ref="B78:B80"/>
    <mergeCell ref="A72:A74"/>
    <mergeCell ref="A75:A77"/>
    <mergeCell ref="A78:A80"/>
    <mergeCell ref="B72:B74"/>
    <mergeCell ref="B75:B77"/>
  </mergeCells>
  <conditionalFormatting sqref="C26 C28:C32">
    <cfRule type="cellIs" dxfId="10" priority="10" operator="equal">
      <formula>"High"</formula>
    </cfRule>
    <cfRule type="cellIs" dxfId="9" priority="11" operator="equal">
      <formula>"Medium"</formula>
    </cfRule>
    <cfRule type="cellIs" dxfId="8" priority="12" operator="equal">
      <formula>"Low"</formula>
    </cfRule>
  </conditionalFormatting>
  <conditionalFormatting sqref="C41">
    <cfRule type="cellIs" dxfId="7" priority="1" operator="equal">
      <formula>"Excellent"</formula>
    </cfRule>
    <cfRule type="cellIs" dxfId="6" priority="2" operator="equal">
      <formula>"Good"</formula>
    </cfRule>
    <cfRule type="cellIs" dxfId="5" priority="3" operator="equal">
      <formula>"Fair"</formula>
    </cfRule>
  </conditionalFormatting>
  <dataValidations count="3">
    <dataValidation type="list" allowBlank="1" showInputMessage="1" showErrorMessage="1" sqref="C32 C26:C28" xr:uid="{B28B5301-5321-4180-8E45-0613F68F873C}">
      <formula1>"Low, Medium, High"</formula1>
    </dataValidation>
    <dataValidation type="list" allowBlank="1" showInputMessage="1" showErrorMessage="1" sqref="C21" xr:uid="{9C3FE7C8-659A-467A-A0D4-DABBDBB9AECF}">
      <formula1>"Forecast, Evaluative"</formula1>
    </dataValidation>
    <dataValidation type="list" allowBlank="1" showInputMessage="1" showErrorMessage="1" sqref="C41" xr:uid="{D7629F9A-0C05-4FA6-8C84-B2470ECB1CAF}">
      <formula1>"Fair,Good, Excellent"</formula1>
    </dataValidation>
  </dataValidations>
  <hyperlinks>
    <hyperlink ref="C7" r:id="rId1" xr:uid="{C057C198-BCDA-42A6-9153-A9D67B0CA020}"/>
    <hyperlink ref="C8" r:id="rId2" xr:uid="{9740BC22-AB2F-4958-98AE-CF0DD4BC77AE}"/>
    <hyperlink ref="D8" r:id="rId3" xr:uid="{2985C82C-D0FB-4DD3-8517-982658F34A5B}"/>
    <hyperlink ref="C27" r:id="rId4" xr:uid="{A07D869D-C1B8-4E0D-8CD9-113C6F19E0EB}"/>
  </hyperlinks>
  <pageMargins left="0.7" right="0.7" top="0.75" bottom="0.75" header="0.3" footer="0.3"/>
  <pageSetup paperSize="9" orientation="portrait" r:id="rId5"/>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D808-38C6-4FDF-951D-683C1DD7B920}">
  <dimension ref="A1:R56"/>
  <sheetViews>
    <sheetView showGridLines="0" workbookViewId="0">
      <selection activeCell="A20" sqref="A20:XFD20"/>
    </sheetView>
  </sheetViews>
  <sheetFormatPr defaultColWidth="9.44140625" defaultRowHeight="14.4" x14ac:dyDescent="0.3"/>
  <cols>
    <col min="1" max="1" width="3.5546875" customWidth="1"/>
  </cols>
  <sheetData>
    <row r="1" spans="1:18" ht="18" x14ac:dyDescent="0.35">
      <c r="A1" s="281"/>
      <c r="B1" s="282" t="s">
        <v>276</v>
      </c>
      <c r="C1" s="3"/>
      <c r="D1" s="3"/>
      <c r="E1" s="3"/>
      <c r="F1" s="3"/>
      <c r="G1" s="3"/>
      <c r="H1" s="3"/>
      <c r="I1" s="3"/>
      <c r="J1" s="3"/>
      <c r="K1" s="3"/>
      <c r="L1" s="3"/>
      <c r="M1" s="3"/>
      <c r="N1" s="3"/>
      <c r="O1" s="3"/>
      <c r="P1" s="3"/>
      <c r="Q1" s="3"/>
      <c r="R1" s="237"/>
    </row>
    <row r="2" spans="1:18" ht="18" x14ac:dyDescent="0.35">
      <c r="A2" s="82"/>
      <c r="B2" s="284"/>
      <c r="C2" s="82"/>
      <c r="D2" s="82"/>
      <c r="E2" s="82"/>
      <c r="F2" s="82"/>
      <c r="G2" s="82"/>
      <c r="H2" s="82"/>
      <c r="I2" s="82"/>
      <c r="J2" s="82"/>
      <c r="K2" s="82"/>
      <c r="L2" s="82"/>
      <c r="M2" s="82"/>
      <c r="N2" s="82"/>
      <c r="O2" s="82"/>
      <c r="P2" s="82"/>
      <c r="Q2" s="82"/>
      <c r="R2" s="285"/>
    </row>
    <row r="3" spans="1:18" x14ac:dyDescent="0.3">
      <c r="R3" s="248"/>
    </row>
    <row r="4" spans="1:18" x14ac:dyDescent="0.3">
      <c r="R4" s="248"/>
    </row>
    <row r="5" spans="1:18" x14ac:dyDescent="0.3">
      <c r="R5" s="248"/>
    </row>
    <row r="6" spans="1:18" x14ac:dyDescent="0.3">
      <c r="R6" s="248"/>
    </row>
    <row r="7" spans="1:18" x14ac:dyDescent="0.3">
      <c r="R7" s="248"/>
    </row>
    <row r="8" spans="1:18" x14ac:dyDescent="0.3">
      <c r="R8" s="248"/>
    </row>
    <row r="9" spans="1:18" x14ac:dyDescent="0.3">
      <c r="R9" s="248"/>
    </row>
    <row r="10" spans="1:18" x14ac:dyDescent="0.3">
      <c r="R10" s="248"/>
    </row>
    <row r="11" spans="1:18" x14ac:dyDescent="0.3">
      <c r="R11" s="248"/>
    </row>
    <row r="12" spans="1:18" x14ac:dyDescent="0.3">
      <c r="R12" s="248"/>
    </row>
    <row r="13" spans="1:18" x14ac:dyDescent="0.3">
      <c r="R13" s="248"/>
    </row>
    <row r="14" spans="1:18" x14ac:dyDescent="0.3">
      <c r="R14" s="248"/>
    </row>
    <row r="15" spans="1:18" x14ac:dyDescent="0.3">
      <c r="R15" s="248"/>
    </row>
    <row r="16" spans="1:18" x14ac:dyDescent="0.3">
      <c r="R16" s="248"/>
    </row>
    <row r="17" spans="1:18" x14ac:dyDescent="0.3">
      <c r="R17" s="248"/>
    </row>
    <row r="18" spans="1:18" x14ac:dyDescent="0.3">
      <c r="R18" s="248"/>
    </row>
    <row r="19" spans="1:18" x14ac:dyDescent="0.3">
      <c r="R19" s="248"/>
    </row>
    <row r="20" spans="1:18" ht="18" x14ac:dyDescent="0.35">
      <c r="A20" s="232"/>
      <c r="B20" s="279" t="s">
        <v>277</v>
      </c>
      <c r="C20" s="29"/>
      <c r="D20" s="29"/>
      <c r="E20" s="29"/>
      <c r="F20" s="29"/>
      <c r="G20" s="29"/>
      <c r="H20" s="29"/>
      <c r="I20" s="29"/>
      <c r="J20" s="29"/>
      <c r="K20" s="29"/>
      <c r="L20" s="29"/>
      <c r="M20" s="29"/>
      <c r="N20" s="29"/>
      <c r="O20" s="29"/>
      <c r="P20" s="29"/>
      <c r="Q20" s="29"/>
      <c r="R20" s="280"/>
    </row>
    <row r="21" spans="1:18" x14ac:dyDescent="0.3">
      <c r="R21" s="248"/>
    </row>
    <row r="22" spans="1:18" x14ac:dyDescent="0.3">
      <c r="R22" s="248"/>
    </row>
    <row r="23" spans="1:18" x14ac:dyDescent="0.3">
      <c r="R23" s="248"/>
    </row>
    <row r="24" spans="1:18" x14ac:dyDescent="0.3">
      <c r="R24" s="248"/>
    </row>
    <row r="25" spans="1:18" x14ac:dyDescent="0.3">
      <c r="R25" s="248"/>
    </row>
    <row r="26" spans="1:18" x14ac:dyDescent="0.3">
      <c r="R26" s="248"/>
    </row>
    <row r="27" spans="1:18" x14ac:dyDescent="0.3">
      <c r="R27" s="248"/>
    </row>
    <row r="28" spans="1:18" x14ac:dyDescent="0.3">
      <c r="R28" s="248"/>
    </row>
    <row r="29" spans="1:18" x14ac:dyDescent="0.3">
      <c r="R29" s="248"/>
    </row>
    <row r="30" spans="1:18" x14ac:dyDescent="0.3">
      <c r="R30" s="248"/>
    </row>
    <row r="31" spans="1:18" x14ac:dyDescent="0.3">
      <c r="R31" s="248"/>
    </row>
    <row r="32" spans="1:18" x14ac:dyDescent="0.3">
      <c r="R32" s="248"/>
    </row>
    <row r="33" spans="18:18" x14ac:dyDescent="0.3">
      <c r="R33" s="248"/>
    </row>
    <row r="34" spans="18:18" x14ac:dyDescent="0.3">
      <c r="R34" s="248"/>
    </row>
    <row r="35" spans="18:18" x14ac:dyDescent="0.3">
      <c r="R35" s="248"/>
    </row>
    <row r="36" spans="18:18" x14ac:dyDescent="0.3">
      <c r="R36" s="248"/>
    </row>
    <row r="37" spans="18:18" x14ac:dyDescent="0.3">
      <c r="R37" s="248"/>
    </row>
    <row r="38" spans="18:18" x14ac:dyDescent="0.3">
      <c r="R38" s="248"/>
    </row>
    <row r="39" spans="18:18" x14ac:dyDescent="0.3">
      <c r="R39" s="248"/>
    </row>
    <row r="40" spans="18:18" x14ac:dyDescent="0.3">
      <c r="R40" s="248"/>
    </row>
    <row r="41" spans="18:18" x14ac:dyDescent="0.3">
      <c r="R41" s="248"/>
    </row>
    <row r="42" spans="18:18" x14ac:dyDescent="0.3">
      <c r="R42" s="248"/>
    </row>
    <row r="43" spans="18:18" x14ac:dyDescent="0.3">
      <c r="R43" s="248"/>
    </row>
    <row r="44" spans="18:18" x14ac:dyDescent="0.3">
      <c r="R44" s="248"/>
    </row>
    <row r="45" spans="18:18" x14ac:dyDescent="0.3">
      <c r="R45" s="248"/>
    </row>
    <row r="46" spans="18:18" x14ac:dyDescent="0.3">
      <c r="R46" s="248"/>
    </row>
    <row r="47" spans="18:18" x14ac:dyDescent="0.3">
      <c r="R47" s="248"/>
    </row>
    <row r="48" spans="18:18" x14ac:dyDescent="0.3">
      <c r="R48" s="248"/>
    </row>
    <row r="49" spans="1:18" x14ac:dyDescent="0.3">
      <c r="R49" s="248"/>
    </row>
    <row r="50" spans="1:18" x14ac:dyDescent="0.3">
      <c r="R50" s="248"/>
    </row>
    <row r="51" spans="1:18" x14ac:dyDescent="0.3">
      <c r="R51" s="248"/>
    </row>
    <row r="52" spans="1:18" x14ac:dyDescent="0.3">
      <c r="R52" s="248"/>
    </row>
    <row r="53" spans="1:18" x14ac:dyDescent="0.3">
      <c r="R53" s="248"/>
    </row>
    <row r="54" spans="1:18" x14ac:dyDescent="0.3">
      <c r="R54" s="248"/>
    </row>
    <row r="55" spans="1:18" x14ac:dyDescent="0.3">
      <c r="R55" s="248"/>
    </row>
    <row r="56" spans="1:18" x14ac:dyDescent="0.3">
      <c r="A56" s="261"/>
      <c r="B56" s="261"/>
      <c r="C56" s="261"/>
      <c r="D56" s="261"/>
      <c r="E56" s="261"/>
      <c r="F56" s="261"/>
      <c r="G56" s="261"/>
      <c r="H56" s="261"/>
      <c r="I56" s="261"/>
      <c r="J56" s="261"/>
      <c r="K56" s="261"/>
      <c r="L56" s="261"/>
      <c r="M56" s="261"/>
      <c r="N56" s="261"/>
      <c r="O56" s="261"/>
      <c r="P56" s="261"/>
      <c r="Q56" s="261"/>
      <c r="R56" s="28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AC22-6D6D-463F-92D3-173279A79C1C}">
  <dimension ref="A1:Q318"/>
  <sheetViews>
    <sheetView showGridLines="0" zoomScaleNormal="100" workbookViewId="0">
      <selection activeCell="C21" sqref="C21"/>
    </sheetView>
  </sheetViews>
  <sheetFormatPr defaultColWidth="9.44140625" defaultRowHeight="14.4" x14ac:dyDescent="0.3"/>
  <cols>
    <col min="1" max="1" width="3.33203125" customWidth="1"/>
    <col min="2" max="2" width="51.88671875" style="144" customWidth="1"/>
    <col min="3" max="3" width="17.33203125" style="148" customWidth="1"/>
    <col min="4" max="4" width="14.6640625" style="148" customWidth="1"/>
    <col min="5" max="5" width="18.33203125" style="144" customWidth="1"/>
    <col min="6" max="6" width="14.5546875" style="144" customWidth="1"/>
    <col min="7" max="14" width="13.33203125" style="148" customWidth="1"/>
    <col min="15" max="15" width="25.88671875" customWidth="1"/>
    <col min="16" max="16" width="5.5546875" customWidth="1"/>
    <col min="19" max="19" width="4.5546875" customWidth="1"/>
  </cols>
  <sheetData>
    <row r="1" spans="1:16" ht="6" customHeight="1" x14ac:dyDescent="0.3">
      <c r="A1" s="155"/>
      <c r="B1" s="156"/>
      <c r="C1" s="157"/>
      <c r="D1" s="157"/>
      <c r="E1" s="156"/>
      <c r="F1" s="156"/>
      <c r="G1" s="157"/>
      <c r="H1" s="157"/>
      <c r="I1" s="157"/>
      <c r="J1" s="157"/>
      <c r="K1" s="157"/>
      <c r="L1" s="157"/>
      <c r="M1" s="157"/>
      <c r="N1" s="157"/>
      <c r="O1" s="158"/>
      <c r="P1" s="159"/>
    </row>
    <row r="2" spans="1:16" ht="21" customHeight="1" x14ac:dyDescent="0.35">
      <c r="A2" s="259"/>
      <c r="B2" s="279" t="s">
        <v>281</v>
      </c>
      <c r="C2" s="181"/>
      <c r="D2" s="183"/>
      <c r="E2" s="176"/>
      <c r="F2" s="176"/>
      <c r="G2" s="181"/>
      <c r="H2" s="181"/>
      <c r="I2" s="181"/>
      <c r="J2" s="181"/>
      <c r="K2" s="181"/>
      <c r="L2" s="181"/>
      <c r="M2" s="181"/>
      <c r="N2" s="181"/>
      <c r="O2" s="176"/>
      <c r="P2" s="177"/>
    </row>
    <row r="3" spans="1:16" ht="16.5" customHeight="1" thickBot="1" x14ac:dyDescent="0.35">
      <c r="A3" s="149"/>
      <c r="B3" s="160"/>
      <c r="C3" s="161"/>
      <c r="D3" s="162"/>
      <c r="E3" s="151"/>
      <c r="F3" s="151"/>
      <c r="G3" s="150"/>
      <c r="H3" s="150"/>
      <c r="I3" s="150"/>
      <c r="J3" s="150"/>
      <c r="K3" s="150"/>
      <c r="L3" s="150"/>
      <c r="M3" s="150"/>
      <c r="N3" s="150"/>
      <c r="O3" s="152"/>
      <c r="P3" s="153"/>
    </row>
    <row r="4" spans="1:16" x14ac:dyDescent="0.3">
      <c r="A4" s="149"/>
      <c r="B4" s="217" t="s">
        <v>249</v>
      </c>
      <c r="C4" s="288" t="s">
        <v>158</v>
      </c>
      <c r="D4" s="150"/>
      <c r="E4" s="356" t="s">
        <v>278</v>
      </c>
      <c r="F4" s="356"/>
      <c r="G4" s="356"/>
      <c r="H4" s="356"/>
      <c r="I4" s="356"/>
      <c r="J4" s="356"/>
      <c r="K4" s="150"/>
      <c r="L4" s="150"/>
      <c r="M4" s="150"/>
      <c r="N4" s="150"/>
      <c r="O4" s="152"/>
      <c r="P4" s="153"/>
    </row>
    <row r="5" spans="1:16" ht="15" customHeight="1" x14ac:dyDescent="0.3">
      <c r="A5" s="149"/>
      <c r="B5" s="145" t="s">
        <v>159</v>
      </c>
      <c r="C5" s="289">
        <v>2018</v>
      </c>
      <c r="D5" s="150"/>
      <c r="E5" s="357" t="s">
        <v>279</v>
      </c>
      <c r="F5" s="357"/>
      <c r="G5" s="357"/>
      <c r="H5" s="357"/>
      <c r="I5" s="357"/>
      <c r="J5" s="357"/>
      <c r="K5" s="150"/>
      <c r="L5" s="150"/>
      <c r="M5" s="150"/>
      <c r="N5" s="150"/>
      <c r="O5" s="152"/>
      <c r="P5" s="153"/>
    </row>
    <row r="6" spans="1:16" ht="15" customHeight="1" x14ac:dyDescent="0.3">
      <c r="A6" s="149"/>
      <c r="B6" s="145" t="s">
        <v>160</v>
      </c>
      <c r="C6" s="289">
        <v>2019</v>
      </c>
      <c r="D6" s="150"/>
      <c r="E6" s="358" t="s">
        <v>280</v>
      </c>
      <c r="F6" s="358"/>
      <c r="G6" s="358"/>
      <c r="H6" s="358"/>
      <c r="I6" s="358"/>
      <c r="J6" s="358"/>
      <c r="K6" s="150"/>
      <c r="L6" s="150"/>
      <c r="M6" s="150"/>
      <c r="N6" s="150"/>
      <c r="O6" s="152"/>
      <c r="P6" s="153"/>
    </row>
    <row r="7" spans="1:16" ht="15" customHeight="1" x14ac:dyDescent="0.3">
      <c r="A7" s="149"/>
      <c r="B7" s="145" t="s">
        <v>161</v>
      </c>
      <c r="C7" s="289">
        <v>2021</v>
      </c>
      <c r="D7" s="150"/>
      <c r="E7" s="151"/>
      <c r="F7" s="151"/>
      <c r="G7" s="150"/>
      <c r="H7" s="150"/>
      <c r="I7" s="287"/>
      <c r="J7" s="150"/>
      <c r="K7" s="150"/>
      <c r="L7" s="150"/>
      <c r="M7" s="150"/>
      <c r="N7" s="150"/>
      <c r="O7" s="152"/>
      <c r="P7" s="153"/>
    </row>
    <row r="8" spans="1:16" ht="15" customHeight="1" thickBot="1" x14ac:dyDescent="0.35">
      <c r="A8" s="149"/>
      <c r="B8" s="146" t="s">
        <v>162</v>
      </c>
      <c r="C8" s="290" t="s">
        <v>163</v>
      </c>
      <c r="D8" s="150"/>
      <c r="E8" s="151"/>
      <c r="F8" s="151"/>
      <c r="G8" s="150"/>
      <c r="H8" s="150"/>
      <c r="I8" s="150"/>
      <c r="J8" s="150"/>
      <c r="K8" s="150"/>
      <c r="L8" s="150"/>
      <c r="M8" s="150"/>
      <c r="N8" s="150"/>
      <c r="O8" s="152"/>
      <c r="P8" s="153"/>
    </row>
    <row r="9" spans="1:16" ht="15" customHeight="1" x14ac:dyDescent="0.3">
      <c r="A9" s="154"/>
      <c r="B9" s="151"/>
      <c r="C9" s="150"/>
      <c r="D9" s="150"/>
      <c r="E9" s="151"/>
      <c r="F9" s="151"/>
      <c r="G9" s="150"/>
      <c r="H9" s="150"/>
      <c r="I9" s="150"/>
      <c r="J9" s="150"/>
      <c r="K9" s="150"/>
      <c r="L9" s="150"/>
      <c r="M9" s="150"/>
      <c r="N9" s="150"/>
      <c r="O9" s="152"/>
      <c r="P9" s="153"/>
    </row>
    <row r="10" spans="1:16" ht="21" customHeight="1" x14ac:dyDescent="0.35">
      <c r="A10" s="259"/>
      <c r="B10" s="279" t="s">
        <v>282</v>
      </c>
      <c r="C10" s="182"/>
      <c r="D10" s="182"/>
      <c r="E10" s="178"/>
      <c r="F10" s="178"/>
      <c r="G10" s="182"/>
      <c r="H10" s="182"/>
      <c r="I10" s="182"/>
      <c r="J10" s="182"/>
      <c r="K10" s="182"/>
      <c r="L10" s="182"/>
      <c r="M10" s="182"/>
      <c r="N10" s="182"/>
      <c r="O10" s="178"/>
      <c r="P10" s="179"/>
    </row>
    <row r="11" spans="1:16" s="278" customFormat="1" ht="14.25" customHeight="1" x14ac:dyDescent="0.3"/>
    <row r="12" spans="1:16" ht="15" customHeight="1" x14ac:dyDescent="0.3">
      <c r="B12" s="327" t="s">
        <v>292</v>
      </c>
      <c r="C12" s="327" t="s">
        <v>70</v>
      </c>
      <c r="D12" s="165"/>
      <c r="E12" s="167"/>
      <c r="F12" s="167"/>
      <c r="G12" s="165"/>
      <c r="H12" s="165"/>
      <c r="I12" s="165"/>
      <c r="J12" s="165"/>
      <c r="K12" s="165"/>
      <c r="L12" s="165"/>
      <c r="M12" s="165"/>
      <c r="N12" s="165"/>
      <c r="O12" s="167"/>
      <c r="P12" s="173"/>
    </row>
    <row r="13" spans="1:16" ht="15.75" customHeight="1" x14ac:dyDescent="0.3">
      <c r="A13" s="154"/>
      <c r="B13" s="293" t="s">
        <v>164</v>
      </c>
      <c r="C13" s="297">
        <f>'Sensitivity analysis'!$C$5</f>
        <v>0.1</v>
      </c>
      <c r="D13" s="150"/>
      <c r="E13" s="151"/>
      <c r="F13" s="151"/>
      <c r="G13" s="150"/>
      <c r="H13" s="150"/>
      <c r="I13" s="150"/>
      <c r="J13" s="150"/>
      <c r="K13" s="150"/>
      <c r="L13" s="150"/>
      <c r="M13" s="150"/>
      <c r="N13" s="150"/>
      <c r="O13" s="152"/>
      <c r="P13" s="153"/>
    </row>
    <row r="14" spans="1:16" ht="15.75" customHeight="1" x14ac:dyDescent="0.3">
      <c r="A14" s="152"/>
      <c r="B14" s="185"/>
      <c r="C14" s="185"/>
      <c r="D14" s="150"/>
      <c r="E14" s="151"/>
      <c r="F14" s="151"/>
      <c r="G14" s="150"/>
      <c r="H14" s="150"/>
      <c r="I14" s="150"/>
      <c r="J14" s="150"/>
      <c r="K14" s="150"/>
      <c r="L14" s="150"/>
      <c r="M14" s="150"/>
      <c r="N14" s="150"/>
      <c r="O14" s="152"/>
      <c r="P14" s="153"/>
    </row>
    <row r="15" spans="1:16" ht="15.75" customHeight="1" x14ac:dyDescent="0.3">
      <c r="A15" s="151"/>
      <c r="B15" s="278" t="s">
        <v>287</v>
      </c>
      <c r="C15" s="165"/>
      <c r="D15" s="165"/>
      <c r="E15" s="167"/>
      <c r="F15" s="167"/>
      <c r="G15" s="165"/>
      <c r="H15" s="165"/>
      <c r="I15" s="165"/>
      <c r="J15" s="165"/>
      <c r="K15" s="165"/>
      <c r="L15" s="165"/>
      <c r="M15" s="165"/>
      <c r="N15" s="165"/>
      <c r="O15" s="167"/>
      <c r="P15" s="173"/>
    </row>
    <row r="16" spans="1:16" ht="15" customHeight="1" x14ac:dyDescent="0.3">
      <c r="A16" s="152"/>
      <c r="B16" s="291" t="s">
        <v>209</v>
      </c>
      <c r="C16" s="292" t="s">
        <v>64</v>
      </c>
      <c r="D16" s="292" t="s">
        <v>68</v>
      </c>
      <c r="E16" s="292" t="s">
        <v>216</v>
      </c>
      <c r="F16" s="292" t="s">
        <v>217</v>
      </c>
      <c r="G16" s="150"/>
      <c r="H16" s="150"/>
      <c r="I16" s="150"/>
      <c r="J16" s="150"/>
      <c r="K16" s="150"/>
      <c r="L16" s="150"/>
      <c r="M16" s="150"/>
      <c r="N16" s="150"/>
      <c r="O16" s="152"/>
      <c r="P16" s="153"/>
    </row>
    <row r="17" spans="1:16" ht="15" customHeight="1" x14ac:dyDescent="0.3">
      <c r="A17" s="152"/>
      <c r="B17" s="293" t="s">
        <v>72</v>
      </c>
      <c r="C17" s="296">
        <v>0.3</v>
      </c>
      <c r="D17" s="296">
        <v>0.3</v>
      </c>
      <c r="E17" s="294" t="s">
        <v>194</v>
      </c>
      <c r="F17" s="294" t="s">
        <v>74</v>
      </c>
      <c r="G17" s="150"/>
      <c r="H17" s="150"/>
      <c r="I17" s="150"/>
      <c r="J17" s="150"/>
      <c r="K17" s="150"/>
      <c r="L17" s="150"/>
      <c r="M17" s="150"/>
      <c r="N17" s="150"/>
      <c r="O17" s="152"/>
      <c r="P17" s="153"/>
    </row>
    <row r="18" spans="1:16" ht="15" customHeight="1" x14ac:dyDescent="0.3">
      <c r="A18" s="152"/>
      <c r="B18" s="293" t="s">
        <v>210</v>
      </c>
      <c r="C18" s="296">
        <v>492</v>
      </c>
      <c r="D18" s="296">
        <v>403</v>
      </c>
      <c r="E18" s="294" t="s">
        <v>194</v>
      </c>
      <c r="F18" s="294" t="s">
        <v>74</v>
      </c>
      <c r="G18" s="150"/>
      <c r="H18" s="150"/>
      <c r="I18" s="150"/>
      <c r="J18" s="150"/>
      <c r="K18" s="150"/>
      <c r="L18" s="150"/>
      <c r="M18" s="150"/>
      <c r="N18" s="150"/>
      <c r="O18" s="152"/>
      <c r="P18" s="153"/>
    </row>
    <row r="19" spans="1:16" ht="15" customHeight="1" x14ac:dyDescent="0.3">
      <c r="A19" s="152"/>
      <c r="B19" s="293" t="s">
        <v>77</v>
      </c>
      <c r="C19" s="296">
        <v>1517</v>
      </c>
      <c r="D19" s="296">
        <v>1166</v>
      </c>
      <c r="E19" s="294" t="s">
        <v>194</v>
      </c>
      <c r="F19" s="294" t="s">
        <v>74</v>
      </c>
      <c r="G19" s="150"/>
      <c r="H19" s="150"/>
      <c r="I19" s="150"/>
      <c r="J19" s="150"/>
      <c r="K19" s="150"/>
      <c r="L19" s="150"/>
      <c r="M19" s="150"/>
      <c r="N19" s="150"/>
      <c r="O19" s="152"/>
      <c r="P19" s="153"/>
    </row>
    <row r="20" spans="1:16" ht="15" customHeight="1" x14ac:dyDescent="0.3">
      <c r="A20" s="152"/>
      <c r="B20" s="293" t="s">
        <v>195</v>
      </c>
      <c r="C20" s="296">
        <v>1147</v>
      </c>
      <c r="D20" s="296">
        <v>1038</v>
      </c>
      <c r="E20" s="294" t="s">
        <v>218</v>
      </c>
      <c r="F20" s="294" t="s">
        <v>198</v>
      </c>
      <c r="G20" s="150"/>
      <c r="H20" s="150"/>
      <c r="I20" s="150"/>
      <c r="J20" s="150"/>
      <c r="K20" s="150"/>
      <c r="L20" s="150"/>
      <c r="M20" s="150"/>
      <c r="N20" s="150"/>
      <c r="O20" s="152"/>
      <c r="P20" s="153"/>
    </row>
    <row r="21" spans="1:16" ht="15" customHeight="1" x14ac:dyDescent="0.3">
      <c r="A21" s="152"/>
      <c r="B21" s="293" t="s">
        <v>80</v>
      </c>
      <c r="C21" s="296">
        <v>494</v>
      </c>
      <c r="D21" s="296">
        <v>299</v>
      </c>
      <c r="E21" s="294" t="s">
        <v>196</v>
      </c>
      <c r="F21" s="294" t="s">
        <v>198</v>
      </c>
      <c r="G21" s="150"/>
      <c r="H21" s="150"/>
      <c r="I21" s="150"/>
      <c r="J21" s="150"/>
      <c r="K21" s="150"/>
      <c r="L21" s="150"/>
      <c r="M21" s="150"/>
      <c r="N21" s="150"/>
      <c r="O21" s="152"/>
      <c r="P21" s="153"/>
    </row>
    <row r="22" spans="1:16" ht="15" customHeight="1" x14ac:dyDescent="0.3">
      <c r="A22" s="152"/>
      <c r="B22" s="293" t="s">
        <v>82</v>
      </c>
      <c r="C22" s="297">
        <v>0.04</v>
      </c>
      <c r="D22" s="297">
        <v>0.19</v>
      </c>
      <c r="E22" s="294" t="s">
        <v>201</v>
      </c>
      <c r="F22" s="294" t="s">
        <v>199</v>
      </c>
      <c r="G22" s="150"/>
      <c r="H22" s="150"/>
      <c r="I22" s="150"/>
      <c r="J22" s="150"/>
      <c r="K22" s="150"/>
      <c r="L22" s="150"/>
      <c r="M22" s="150"/>
      <c r="N22" s="150"/>
      <c r="O22" s="152"/>
      <c r="P22" s="153"/>
    </row>
    <row r="23" spans="1:16" ht="15" customHeight="1" x14ac:dyDescent="0.3">
      <c r="A23" s="152"/>
      <c r="B23" s="293" t="s">
        <v>83</v>
      </c>
      <c r="C23" s="296">
        <v>3.3</v>
      </c>
      <c r="D23" s="296">
        <v>3</v>
      </c>
      <c r="E23" s="295" t="s">
        <v>197</v>
      </c>
      <c r="F23" s="295" t="s">
        <v>84</v>
      </c>
      <c r="G23" s="150"/>
      <c r="H23" s="150"/>
      <c r="I23" s="150"/>
      <c r="J23" s="150"/>
      <c r="K23" s="150"/>
      <c r="L23" s="150"/>
      <c r="M23" s="150"/>
      <c r="N23" s="150"/>
      <c r="O23" s="152"/>
      <c r="P23" s="153"/>
    </row>
    <row r="24" spans="1:16" ht="15" customHeight="1" x14ac:dyDescent="0.3">
      <c r="A24" s="152"/>
      <c r="B24" s="293" t="s">
        <v>85</v>
      </c>
      <c r="C24" s="297">
        <v>0.05</v>
      </c>
      <c r="D24" s="297">
        <v>0.25</v>
      </c>
      <c r="E24" s="294" t="s">
        <v>200</v>
      </c>
      <c r="F24" s="294" t="s">
        <v>199</v>
      </c>
      <c r="G24" s="150"/>
      <c r="H24" s="150"/>
      <c r="I24" s="150"/>
      <c r="J24" s="150"/>
      <c r="K24" s="150"/>
      <c r="L24" s="150"/>
      <c r="M24" s="150"/>
      <c r="N24" s="150"/>
      <c r="O24" s="152"/>
      <c r="P24" s="153"/>
    </row>
    <row r="25" spans="1:16" ht="15" customHeight="1" x14ac:dyDescent="0.3">
      <c r="A25" s="152"/>
      <c r="B25" s="293" t="s">
        <v>86</v>
      </c>
      <c r="C25" s="297">
        <v>0.04</v>
      </c>
      <c r="D25" s="297">
        <v>0.04</v>
      </c>
      <c r="E25" s="295" t="s">
        <v>202</v>
      </c>
      <c r="F25" s="295" t="s">
        <v>202</v>
      </c>
      <c r="G25" s="150"/>
      <c r="H25" s="150"/>
      <c r="I25" s="150"/>
      <c r="J25" s="150"/>
      <c r="K25" s="150"/>
      <c r="L25" s="150"/>
      <c r="M25" s="150"/>
      <c r="N25" s="150"/>
      <c r="O25" s="152"/>
      <c r="P25" s="153"/>
    </row>
    <row r="26" spans="1:16" ht="15" customHeight="1" x14ac:dyDescent="0.3">
      <c r="A26" s="152"/>
      <c r="B26" s="293" t="s">
        <v>87</v>
      </c>
      <c r="C26" s="297">
        <v>0.01</v>
      </c>
      <c r="D26" s="297">
        <v>0.01</v>
      </c>
      <c r="E26" s="295" t="s">
        <v>202</v>
      </c>
      <c r="F26" s="295" t="s">
        <v>202</v>
      </c>
      <c r="G26" s="150"/>
      <c r="H26" s="150"/>
      <c r="I26" s="150"/>
      <c r="J26" s="150"/>
      <c r="K26" s="150"/>
      <c r="L26" s="150"/>
      <c r="M26" s="150"/>
      <c r="N26" s="150"/>
      <c r="O26" s="152"/>
      <c r="P26" s="153"/>
    </row>
    <row r="27" spans="1:16" ht="14.25" customHeight="1" x14ac:dyDescent="0.3">
      <c r="A27" s="152"/>
      <c r="B27" s="151"/>
      <c r="C27" s="150"/>
      <c r="D27" s="150"/>
      <c r="E27" s="151"/>
      <c r="F27" s="151"/>
      <c r="G27" s="150"/>
      <c r="H27" s="150"/>
      <c r="I27" s="150"/>
      <c r="J27" s="150"/>
      <c r="K27" s="150"/>
      <c r="L27" s="150"/>
      <c r="M27" s="150"/>
      <c r="N27" s="150"/>
      <c r="O27" s="152"/>
      <c r="P27" s="153"/>
    </row>
    <row r="28" spans="1:16" ht="15" customHeight="1" x14ac:dyDescent="0.3">
      <c r="A28" s="152"/>
      <c r="B28" s="298" t="s">
        <v>221</v>
      </c>
      <c r="C28" s="298"/>
      <c r="D28" s="298"/>
      <c r="E28" s="298" t="s">
        <v>71</v>
      </c>
      <c r="F28" s="151"/>
      <c r="G28" s="150"/>
      <c r="H28" s="150"/>
      <c r="I28" s="150"/>
      <c r="J28" s="150"/>
      <c r="K28" s="150"/>
      <c r="L28" s="150"/>
      <c r="M28" s="150"/>
      <c r="N28" s="150"/>
      <c r="O28" s="152"/>
      <c r="P28" s="153"/>
    </row>
    <row r="29" spans="1:16" ht="15" customHeight="1" x14ac:dyDescent="0.3">
      <c r="A29" s="152"/>
      <c r="B29" s="293" t="s">
        <v>165</v>
      </c>
      <c r="C29" s="369">
        <v>50</v>
      </c>
      <c r="D29" s="369"/>
      <c r="E29" s="368" t="s">
        <v>267</v>
      </c>
      <c r="F29" s="151"/>
      <c r="G29" s="150"/>
      <c r="H29" s="150"/>
      <c r="I29" s="150"/>
      <c r="J29" s="150"/>
      <c r="K29" s="150"/>
      <c r="L29" s="150"/>
      <c r="M29" s="150"/>
      <c r="N29" s="150"/>
      <c r="O29" s="152"/>
      <c r="P29" s="153"/>
    </row>
    <row r="30" spans="1:16" ht="15" customHeight="1" x14ac:dyDescent="0.3">
      <c r="A30" s="152"/>
      <c r="B30" s="293" t="s">
        <v>166</v>
      </c>
      <c r="C30" s="369">
        <v>15</v>
      </c>
      <c r="D30" s="369"/>
      <c r="E30" s="368"/>
      <c r="F30" s="151"/>
      <c r="G30" s="150"/>
      <c r="H30" s="150"/>
      <c r="I30" s="150"/>
      <c r="J30" s="150"/>
      <c r="K30" s="150"/>
      <c r="L30" s="150"/>
      <c r="M30" s="150"/>
      <c r="N30" s="150"/>
      <c r="O30" s="152"/>
      <c r="P30" s="153"/>
    </row>
    <row r="31" spans="1:16" ht="15" customHeight="1" x14ac:dyDescent="0.3">
      <c r="A31" s="152"/>
      <c r="B31" s="293" t="s">
        <v>167</v>
      </c>
      <c r="C31" s="369">
        <v>1</v>
      </c>
      <c r="D31" s="369"/>
      <c r="E31" s="368"/>
      <c r="F31" s="151"/>
      <c r="G31" s="150"/>
      <c r="H31" s="150"/>
      <c r="I31" s="150"/>
      <c r="J31" s="150"/>
      <c r="K31" s="150"/>
      <c r="L31" s="150"/>
      <c r="M31" s="150"/>
      <c r="N31" s="150"/>
      <c r="O31" s="152"/>
      <c r="P31" s="153"/>
    </row>
    <row r="32" spans="1:16" ht="15" customHeight="1" x14ac:dyDescent="0.3">
      <c r="A32" s="152"/>
      <c r="B32" s="293" t="s">
        <v>211</v>
      </c>
      <c r="C32" s="364">
        <f>5/3000</f>
        <v>1.6666666666666668E-3</v>
      </c>
      <c r="D32" s="364"/>
      <c r="E32" s="368"/>
      <c r="F32" s="151"/>
      <c r="G32" s="150"/>
      <c r="H32" s="150"/>
      <c r="I32" s="150"/>
      <c r="J32" s="150"/>
      <c r="K32" s="150"/>
      <c r="L32" s="150"/>
      <c r="M32" s="150"/>
      <c r="N32" s="150"/>
      <c r="O32" s="152"/>
      <c r="P32" s="153"/>
    </row>
    <row r="33" spans="1:16" ht="15" customHeight="1" x14ac:dyDescent="0.3">
      <c r="A33" s="152"/>
      <c r="B33" s="293" t="s">
        <v>212</v>
      </c>
      <c r="C33" s="364">
        <f>10/3000</f>
        <v>3.3333333333333335E-3</v>
      </c>
      <c r="D33" s="364"/>
      <c r="E33" s="368"/>
      <c r="F33" s="151"/>
      <c r="G33" s="150"/>
      <c r="H33" s="150"/>
      <c r="I33" s="150"/>
      <c r="J33" s="150"/>
      <c r="K33" s="150"/>
      <c r="L33" s="150"/>
      <c r="M33" s="150"/>
      <c r="N33" s="150"/>
      <c r="O33" s="152"/>
      <c r="P33" s="153"/>
    </row>
    <row r="34" spans="1:16" ht="15" customHeight="1" x14ac:dyDescent="0.3">
      <c r="A34" s="152"/>
      <c r="B34" s="293" t="s">
        <v>168</v>
      </c>
      <c r="C34" s="365">
        <v>0.01</v>
      </c>
      <c r="D34" s="365"/>
      <c r="E34" s="295" t="s">
        <v>169</v>
      </c>
      <c r="F34" s="151"/>
      <c r="G34" s="150"/>
      <c r="H34" s="150"/>
      <c r="I34" s="150"/>
      <c r="J34" s="150"/>
      <c r="K34" s="150"/>
      <c r="L34" s="150"/>
      <c r="M34" s="150"/>
      <c r="N34" s="150"/>
      <c r="O34" s="152"/>
      <c r="P34" s="153"/>
    </row>
    <row r="35" spans="1:16" ht="6" customHeight="1" x14ac:dyDescent="0.3">
      <c r="A35" s="152"/>
      <c r="B35" s="151"/>
      <c r="C35" s="150"/>
      <c r="D35" s="150"/>
      <c r="E35" s="151"/>
      <c r="F35" s="151"/>
      <c r="G35" s="150"/>
      <c r="H35" s="150"/>
      <c r="I35" s="150"/>
      <c r="J35" s="150"/>
      <c r="K35" s="150"/>
      <c r="L35" s="150"/>
      <c r="M35" s="150"/>
      <c r="N35" s="150"/>
      <c r="O35" s="152"/>
      <c r="P35" s="153"/>
    </row>
    <row r="36" spans="1:16" ht="15" customHeight="1" x14ac:dyDescent="0.3">
      <c r="A36" s="164"/>
      <c r="B36" s="167"/>
      <c r="C36" s="174"/>
      <c r="D36" s="165"/>
      <c r="E36" s="167"/>
      <c r="F36" s="167"/>
      <c r="G36" s="165"/>
      <c r="H36" s="165"/>
      <c r="I36" s="165"/>
      <c r="J36" s="165"/>
      <c r="K36" s="165"/>
      <c r="L36" s="165"/>
      <c r="M36" s="165"/>
      <c r="N36" s="165"/>
      <c r="O36" s="164"/>
      <c r="P36" s="166"/>
    </row>
    <row r="37" spans="1:16" ht="15" customHeight="1" x14ac:dyDescent="0.3">
      <c r="A37" s="152"/>
      <c r="B37" s="300" t="s">
        <v>176</v>
      </c>
      <c r="C37" s="366">
        <f>'Sensitivity analysis'!$C$6</f>
        <v>0.1</v>
      </c>
      <c r="D37" s="366"/>
      <c r="E37" s="301"/>
      <c r="F37" s="151"/>
      <c r="G37" s="150"/>
      <c r="H37" s="150"/>
      <c r="I37" s="150"/>
      <c r="J37" s="150"/>
      <c r="K37" s="150"/>
      <c r="L37" s="150"/>
      <c r="M37" s="150"/>
      <c r="N37" s="150"/>
      <c r="O37" s="152"/>
      <c r="P37" s="153"/>
    </row>
    <row r="38" spans="1:16" ht="15" customHeight="1" x14ac:dyDescent="0.3">
      <c r="A38" s="164"/>
      <c r="B38" s="302" t="s">
        <v>181</v>
      </c>
      <c r="C38" s="367">
        <f>'Sensitivity analysis'!C9</f>
        <v>-7.0000000000000007E-2</v>
      </c>
      <c r="D38" s="367"/>
      <c r="E38" s="303" t="s">
        <v>182</v>
      </c>
      <c r="F38" s="167"/>
      <c r="G38" s="165"/>
      <c r="H38" s="165"/>
      <c r="I38" s="165"/>
      <c r="J38" s="165"/>
      <c r="K38" s="165"/>
      <c r="L38" s="165"/>
      <c r="M38" s="165"/>
      <c r="N38" s="165"/>
      <c r="O38" s="164"/>
      <c r="P38" s="172"/>
    </row>
    <row r="39" spans="1:16" ht="14.4" customHeight="1" x14ac:dyDescent="0.3">
      <c r="A39" s="152"/>
      <c r="B39" s="151"/>
      <c r="C39" s="150"/>
      <c r="D39" s="150"/>
      <c r="E39" s="151"/>
      <c r="F39" s="151"/>
      <c r="G39" s="150"/>
      <c r="H39" s="150"/>
      <c r="I39" s="150"/>
      <c r="J39" s="150"/>
      <c r="K39" s="150"/>
      <c r="L39" s="150"/>
      <c r="M39" s="150"/>
      <c r="N39" s="150"/>
      <c r="O39" s="152"/>
      <c r="P39" s="153"/>
    </row>
    <row r="40" spans="1:16" ht="15" customHeight="1" x14ac:dyDescent="0.3">
      <c r="A40" s="164"/>
      <c r="B40" s="278" t="s">
        <v>283</v>
      </c>
      <c r="C40" s="165"/>
      <c r="D40" s="165"/>
      <c r="E40" s="167"/>
      <c r="F40" s="167"/>
      <c r="G40" s="165"/>
      <c r="H40" s="165"/>
      <c r="I40" s="165"/>
      <c r="J40" s="165"/>
      <c r="K40" s="165"/>
      <c r="L40" s="165"/>
      <c r="M40" s="165"/>
      <c r="N40" s="165"/>
      <c r="O40" s="164"/>
      <c r="P40" s="166"/>
    </row>
    <row r="41" spans="1:16" ht="30" customHeight="1" x14ac:dyDescent="0.3">
      <c r="A41" s="152"/>
      <c r="B41" s="298" t="s">
        <v>88</v>
      </c>
      <c r="C41" s="306" t="s">
        <v>284</v>
      </c>
      <c r="D41" s="298" t="s">
        <v>177</v>
      </c>
      <c r="E41" s="298" t="s">
        <v>99</v>
      </c>
      <c r="F41" s="298" t="s">
        <v>101</v>
      </c>
      <c r="G41" s="298" t="s">
        <v>103</v>
      </c>
      <c r="H41" s="298" t="s">
        <v>105</v>
      </c>
      <c r="I41" s="298" t="s">
        <v>107</v>
      </c>
      <c r="J41" s="298" t="s">
        <v>110</v>
      </c>
      <c r="K41" s="298" t="s">
        <v>112</v>
      </c>
      <c r="L41" s="298" t="s">
        <v>71</v>
      </c>
      <c r="M41" s="150"/>
      <c r="N41" s="150"/>
      <c r="O41" s="152"/>
      <c r="P41" s="153"/>
    </row>
    <row r="42" spans="1:16" ht="15" customHeight="1" x14ac:dyDescent="0.3">
      <c r="A42" s="152"/>
      <c r="B42" s="293" t="s">
        <v>178</v>
      </c>
      <c r="C42" s="307">
        <v>0</v>
      </c>
      <c r="D42" s="307">
        <f>0.7*'Sensitivity analysis'!C8</f>
        <v>0.7</v>
      </c>
      <c r="E42" s="307">
        <f>2.6*'Sensitivity analysis'!C8</f>
        <v>2.6</v>
      </c>
      <c r="F42" s="307">
        <f>3.3*'Sensitivity analysis'!C8</f>
        <v>3.3</v>
      </c>
      <c r="G42" s="307">
        <f>2.8*'Sensitivity analysis'!C8</f>
        <v>2.8</v>
      </c>
      <c r="H42" s="307">
        <f>2.6*'Sensitivity analysis'!C8</f>
        <v>2.6</v>
      </c>
      <c r="I42" s="307">
        <f>2.5*'Sensitivity analysis'!C8</f>
        <v>2.5</v>
      </c>
      <c r="J42" s="307">
        <f>2.4*'Sensitivity analysis'!C8</f>
        <v>2.4</v>
      </c>
      <c r="K42" s="307">
        <f>2.2*'Sensitivity analysis'!C8</f>
        <v>2.2000000000000002</v>
      </c>
      <c r="L42" s="362" t="s">
        <v>268</v>
      </c>
      <c r="M42" s="150"/>
      <c r="N42" s="150"/>
      <c r="O42" s="152"/>
      <c r="P42" s="153"/>
    </row>
    <row r="43" spans="1:16" ht="15" customHeight="1" x14ac:dyDescent="0.3">
      <c r="A43" s="152"/>
      <c r="B43" s="293" t="s">
        <v>179</v>
      </c>
      <c r="C43" s="307">
        <v>1.1000000000000001</v>
      </c>
      <c r="D43" s="307">
        <v>1.1000000000000001</v>
      </c>
      <c r="E43" s="307">
        <v>0.9</v>
      </c>
      <c r="F43" s="307">
        <v>1.3</v>
      </c>
      <c r="G43" s="307">
        <v>1</v>
      </c>
      <c r="H43" s="307">
        <v>1.3</v>
      </c>
      <c r="I43" s="307">
        <v>1.6</v>
      </c>
      <c r="J43" s="307">
        <v>1.6</v>
      </c>
      <c r="K43" s="307">
        <v>1.1000000000000001</v>
      </c>
      <c r="L43" s="362"/>
      <c r="M43" s="150"/>
      <c r="N43" s="150"/>
      <c r="O43" s="152"/>
      <c r="P43" s="153"/>
    </row>
    <row r="44" spans="1:16" ht="15" customHeight="1" x14ac:dyDescent="0.3">
      <c r="A44" s="152"/>
      <c r="B44" s="293" t="s">
        <v>180</v>
      </c>
      <c r="C44" s="304">
        <f>(C42-C43)*'Sensitivity analysis'!$C$8</f>
        <v>-1.1000000000000001</v>
      </c>
      <c r="D44" s="304">
        <f>(D42-D43)*'Sensitivity analysis'!$C$8</f>
        <v>-0.40000000000000013</v>
      </c>
      <c r="E44" s="304">
        <f>(E42-E43)*'Sensitivity analysis'!$C$8</f>
        <v>1.7000000000000002</v>
      </c>
      <c r="F44" s="304">
        <f>(F42-F43)*'Sensitivity analysis'!$C$8</f>
        <v>1.9999999999999998</v>
      </c>
      <c r="G44" s="304">
        <f>(G42-G43)*'Sensitivity analysis'!$C$8</f>
        <v>1.7999999999999998</v>
      </c>
      <c r="H44" s="304">
        <f>(H42-H43)*'Sensitivity analysis'!$C$8</f>
        <v>1.3</v>
      </c>
      <c r="I44" s="304">
        <f>(I42-I43)*'Sensitivity analysis'!$C$8</f>
        <v>0.89999999999999991</v>
      </c>
      <c r="J44" s="304">
        <f>(J42-J43)*'Sensitivity analysis'!$C$8</f>
        <v>0.79999999999999982</v>
      </c>
      <c r="K44" s="304">
        <f>(K42-K43)*'Sensitivity analysis'!$C$8</f>
        <v>1.1000000000000001</v>
      </c>
      <c r="L44" s="362"/>
      <c r="M44" s="150"/>
      <c r="N44" s="150"/>
      <c r="O44" s="152"/>
      <c r="P44" s="153"/>
    </row>
    <row r="45" spans="1:16" ht="15" customHeight="1" x14ac:dyDescent="0.3">
      <c r="A45" s="152"/>
      <c r="B45" s="293" t="s">
        <v>245</v>
      </c>
      <c r="C45" s="305">
        <f>C44/C43</f>
        <v>-1</v>
      </c>
      <c r="D45" s="305">
        <f t="shared" ref="D45:K45" si="0">D44/D43</f>
        <v>-0.3636363636363637</v>
      </c>
      <c r="E45" s="305">
        <f t="shared" si="0"/>
        <v>1.8888888888888891</v>
      </c>
      <c r="F45" s="305">
        <f t="shared" si="0"/>
        <v>1.5384615384615383</v>
      </c>
      <c r="G45" s="305">
        <f t="shared" si="0"/>
        <v>1.7999999999999998</v>
      </c>
      <c r="H45" s="305">
        <f t="shared" si="0"/>
        <v>1</v>
      </c>
      <c r="I45" s="305">
        <f t="shared" si="0"/>
        <v>0.56249999999999989</v>
      </c>
      <c r="J45" s="305">
        <f t="shared" si="0"/>
        <v>0.49999999999999989</v>
      </c>
      <c r="K45" s="305">
        <f t="shared" si="0"/>
        <v>1</v>
      </c>
      <c r="L45" s="362"/>
      <c r="M45" s="150"/>
      <c r="N45" s="150"/>
      <c r="O45" s="152"/>
      <c r="P45" s="153"/>
    </row>
    <row r="46" spans="1:16" ht="6" customHeight="1" x14ac:dyDescent="0.3">
      <c r="A46" s="152"/>
      <c r="B46" s="151"/>
      <c r="C46" s="150"/>
      <c r="D46" s="150"/>
      <c r="E46" s="151"/>
      <c r="F46" s="151"/>
      <c r="G46" s="150"/>
      <c r="H46" s="150"/>
      <c r="I46" s="150"/>
      <c r="J46" s="150"/>
      <c r="K46" s="150"/>
      <c r="L46" s="150"/>
      <c r="M46" s="150"/>
      <c r="N46" s="150"/>
      <c r="O46" s="152"/>
      <c r="P46" s="153"/>
    </row>
    <row r="47" spans="1:16" ht="6" customHeight="1" x14ac:dyDescent="0.3">
      <c r="A47" s="152"/>
      <c r="B47" s="151"/>
      <c r="C47" s="150"/>
      <c r="D47" s="150"/>
      <c r="E47" s="151"/>
      <c r="F47" s="151"/>
      <c r="G47" s="150"/>
      <c r="H47" s="150"/>
      <c r="I47" s="150"/>
      <c r="J47" s="150"/>
      <c r="K47" s="150"/>
      <c r="L47" s="150"/>
      <c r="M47" s="150"/>
      <c r="N47" s="150"/>
      <c r="O47" s="152"/>
      <c r="P47" s="153"/>
    </row>
    <row r="48" spans="1:16" ht="15" customHeight="1" x14ac:dyDescent="0.3">
      <c r="A48" s="164"/>
      <c r="B48" s="278" t="s">
        <v>275</v>
      </c>
      <c r="C48" s="165"/>
      <c r="D48" s="165"/>
      <c r="E48" s="167"/>
      <c r="F48" s="167"/>
      <c r="G48" s="165"/>
      <c r="H48" s="165"/>
      <c r="I48" s="165"/>
      <c r="J48" s="165"/>
      <c r="K48" s="165"/>
      <c r="L48" s="165"/>
      <c r="M48" s="165"/>
      <c r="N48" s="165"/>
      <c r="O48" s="175"/>
      <c r="P48" s="166"/>
    </row>
    <row r="49" spans="1:16" ht="15" customHeight="1" x14ac:dyDescent="0.3">
      <c r="A49" s="152"/>
      <c r="B49" s="298" t="s">
        <v>88</v>
      </c>
      <c r="C49" s="298">
        <v>2018</v>
      </c>
      <c r="D49" s="298">
        <v>2019</v>
      </c>
      <c r="E49" s="298">
        <v>2020</v>
      </c>
      <c r="F49" s="298">
        <v>2021</v>
      </c>
      <c r="G49" s="298">
        <v>2022</v>
      </c>
      <c r="H49" s="298">
        <v>2023</v>
      </c>
      <c r="I49" s="298">
        <v>2024</v>
      </c>
      <c r="J49" s="298">
        <v>2025</v>
      </c>
      <c r="K49" s="298">
        <v>2026</v>
      </c>
      <c r="L49" s="298">
        <v>2027</v>
      </c>
      <c r="M49" s="298">
        <v>2028</v>
      </c>
      <c r="N49" s="298">
        <v>2029</v>
      </c>
      <c r="O49" s="359" t="s">
        <v>171</v>
      </c>
      <c r="P49" s="360"/>
    </row>
    <row r="50" spans="1:16" ht="15" customHeight="1" x14ac:dyDescent="0.3">
      <c r="A50" s="152"/>
      <c r="B50" s="310" t="s">
        <v>183</v>
      </c>
      <c r="C50" s="299">
        <v>8</v>
      </c>
      <c r="D50" s="299">
        <v>15</v>
      </c>
      <c r="E50" s="299">
        <v>19</v>
      </c>
      <c r="F50" s="311">
        <f>AVERAGE(E50,G50)</f>
        <v>34.5</v>
      </c>
      <c r="G50" s="299">
        <v>50</v>
      </c>
      <c r="H50" s="299">
        <v>31</v>
      </c>
      <c r="I50" s="308">
        <f>AVERAGE($D$50:$H$50)*(1+'Sensitivity analysis'!C7)</f>
        <v>29.9</v>
      </c>
      <c r="J50" s="308">
        <f>AVERAGE($D$50:$H$50)*(1+'Sensitivity analysis'!C7)</f>
        <v>29.9</v>
      </c>
      <c r="K50" s="308">
        <f>AVERAGE($D$50:$H$50)*(1+'Sensitivity analysis'!C7)</f>
        <v>29.9</v>
      </c>
      <c r="L50" s="308">
        <f>AVERAGE($D$50:$H$50)*(1+'Sensitivity analysis'!C7)</f>
        <v>29.9</v>
      </c>
      <c r="M50" s="308">
        <f>AVERAGE($D$50:$H$50)*(1+'Sensitivity analysis'!C7)</f>
        <v>29.9</v>
      </c>
      <c r="N50" s="308">
        <f>AVERAGE($D$50:$H$50)*(1+'Sensitivity analysis'!C7)</f>
        <v>29.9</v>
      </c>
      <c r="O50" s="363" t="s">
        <v>184</v>
      </c>
      <c r="P50" s="363"/>
    </row>
    <row r="51" spans="1:16" ht="15" customHeight="1" x14ac:dyDescent="0.3">
      <c r="A51" s="152"/>
      <c r="B51" s="293" t="s">
        <v>185</v>
      </c>
      <c r="C51" s="309">
        <f>C50/(D$79/D$79)</f>
        <v>8</v>
      </c>
      <c r="D51" s="309">
        <f>D50/(E$79/$D$79)</f>
        <v>13.373339003611317</v>
      </c>
      <c r="E51" s="309">
        <f>E50/(F$79/$D$79)</f>
        <v>14.326008513849745</v>
      </c>
      <c r="F51" s="308">
        <f>F50/(G$79/$D$79)</f>
        <v>21.487079398629529</v>
      </c>
      <c r="G51" s="309">
        <f>G50/(H$79/$D$79)</f>
        <v>23.352677788815523</v>
      </c>
      <c r="H51" s="309">
        <f>H50/(I$79/$D$79)</f>
        <v>10.952305044382499</v>
      </c>
      <c r="I51" s="308">
        <f>AVERAGE($D$51:$H$51)*(1+'Sensitivity analysis'!C7)</f>
        <v>16.698281949857723</v>
      </c>
      <c r="J51" s="308">
        <f>AVERAGE($D$51:$H$51)*(1+'Sensitivity analysis'!C7)</f>
        <v>16.698281949857723</v>
      </c>
      <c r="K51" s="308">
        <f>AVERAGE($D$51:$H$51)*(1+'Sensitivity analysis'!C7)</f>
        <v>16.698281949857723</v>
      </c>
      <c r="L51" s="308">
        <f>AVERAGE($D$51:$H$51)*(1+'Sensitivity analysis'!C7)</f>
        <v>16.698281949857723</v>
      </c>
      <c r="M51" s="308">
        <f>AVERAGE($D$51:$H$51)*(1+'Sensitivity analysis'!C7)</f>
        <v>16.698281949857723</v>
      </c>
      <c r="N51" s="308">
        <f>AVERAGE($D$51:$H$51)*(1+'Sensitivity analysis'!C7)</f>
        <v>16.698281949857723</v>
      </c>
      <c r="O51" s="363"/>
      <c r="P51" s="363"/>
    </row>
    <row r="52" spans="1:16" ht="15" customHeight="1" x14ac:dyDescent="0.3">
      <c r="A52" s="152"/>
      <c r="B52" s="293" t="s">
        <v>186</v>
      </c>
      <c r="C52" s="309">
        <f>C50/(D79/$E$79)</f>
        <v>8.973076953152491</v>
      </c>
      <c r="D52" s="309">
        <f>D50</f>
        <v>15</v>
      </c>
      <c r="E52" s="309">
        <f>E50/(F$79/$E$79)</f>
        <v>16.068547103286438</v>
      </c>
      <c r="F52" s="308">
        <f>F50/(G$79/$E$79)</f>
        <v>24.100652117800038</v>
      </c>
      <c r="G52" s="309">
        <f>G50/(H$79/$E$79)</f>
        <v>26.193171857652075</v>
      </c>
      <c r="H52" s="309">
        <f>H50/(I$79/$E$79)</f>
        <v>12.284484497205545</v>
      </c>
      <c r="I52" s="308">
        <f>AVERAGE($D$52:$H$52)*(1+'Sensitivity analysis'!C7)</f>
        <v>18.729371115188819</v>
      </c>
      <c r="J52" s="308">
        <f>AVERAGE($D$52:$H$52)*(1+'Sensitivity analysis'!C7)</f>
        <v>18.729371115188819</v>
      </c>
      <c r="K52" s="308">
        <f>AVERAGE($D$52:$H$52)*(1+'Sensitivity analysis'!C7)</f>
        <v>18.729371115188819</v>
      </c>
      <c r="L52" s="308">
        <f>AVERAGE($D$52:$H$52)*(1+'Sensitivity analysis'!C7)</f>
        <v>18.729371115188819</v>
      </c>
      <c r="M52" s="308">
        <f>AVERAGE($D$52:$H$52)*(1+'Sensitivity analysis'!C7)</f>
        <v>18.729371115188819</v>
      </c>
      <c r="N52" s="308">
        <f>AVERAGE($D$52:$H$52)*(1+'Sensitivity analysis'!C7)</f>
        <v>18.729371115188819</v>
      </c>
      <c r="O52" s="363"/>
      <c r="P52" s="363"/>
    </row>
    <row r="53" spans="1:16" ht="6" customHeight="1" x14ac:dyDescent="0.3">
      <c r="A53" s="152"/>
      <c r="B53" s="151"/>
      <c r="C53" s="150"/>
      <c r="D53" s="150"/>
      <c r="E53" s="151"/>
      <c r="F53" s="151"/>
      <c r="G53" s="150"/>
      <c r="H53" s="150"/>
      <c r="I53" s="150"/>
      <c r="J53" s="150"/>
      <c r="K53" s="150"/>
      <c r="L53" s="150"/>
      <c r="M53" s="150"/>
      <c r="N53" s="150"/>
      <c r="O53" s="152"/>
      <c r="P53" s="163"/>
    </row>
    <row r="54" spans="1:16" ht="6" customHeight="1" x14ac:dyDescent="0.3">
      <c r="A54" s="152"/>
      <c r="B54" s="151"/>
      <c r="C54" s="150"/>
      <c r="D54" s="150"/>
      <c r="E54" s="151"/>
      <c r="F54" s="151"/>
      <c r="G54" s="150"/>
      <c r="H54" s="150"/>
      <c r="I54" s="150"/>
      <c r="J54" s="150"/>
      <c r="K54" s="150"/>
      <c r="L54" s="150"/>
      <c r="M54" s="150"/>
      <c r="N54" s="150"/>
      <c r="O54" s="152"/>
      <c r="P54" s="163"/>
    </row>
    <row r="55" spans="1:16" ht="15" customHeight="1" x14ac:dyDescent="0.3">
      <c r="A55" s="164"/>
      <c r="B55" s="167" t="s">
        <v>234</v>
      </c>
      <c r="C55" s="186"/>
      <c r="D55" s="165"/>
      <c r="E55" s="167"/>
      <c r="F55" s="167"/>
      <c r="G55" s="165"/>
      <c r="H55" s="165"/>
      <c r="I55" s="165"/>
      <c r="J55" s="165"/>
      <c r="K55" s="165"/>
      <c r="L55" s="165"/>
      <c r="M55" s="165"/>
      <c r="N55" s="165"/>
      <c r="O55" s="164"/>
      <c r="P55" s="166"/>
    </row>
    <row r="56" spans="1:16" ht="15" customHeight="1" x14ac:dyDescent="0.3">
      <c r="A56" s="152"/>
      <c r="B56" s="298" t="s">
        <v>88</v>
      </c>
      <c r="C56" s="298">
        <v>2018</v>
      </c>
      <c r="D56" s="298">
        <v>2019</v>
      </c>
      <c r="E56" s="298">
        <v>2020</v>
      </c>
      <c r="F56" s="298">
        <v>2021</v>
      </c>
      <c r="G56" s="298">
        <v>2022</v>
      </c>
      <c r="H56" s="298">
        <v>2023</v>
      </c>
      <c r="I56" s="298">
        <v>2024</v>
      </c>
      <c r="J56" s="298">
        <v>2025</v>
      </c>
      <c r="K56" s="298">
        <v>2026</v>
      </c>
      <c r="L56" s="298">
        <v>2027</v>
      </c>
      <c r="M56" s="298">
        <v>2028</v>
      </c>
      <c r="N56" s="298">
        <v>2029</v>
      </c>
      <c r="O56" s="359" t="s">
        <v>171</v>
      </c>
      <c r="P56" s="360"/>
    </row>
    <row r="57" spans="1:16" ht="15" customHeight="1" x14ac:dyDescent="0.3">
      <c r="A57" s="152"/>
      <c r="B57" s="300" t="s">
        <v>172</v>
      </c>
      <c r="C57" s="312">
        <v>38</v>
      </c>
      <c r="D57" s="312">
        <v>47</v>
      </c>
      <c r="E57" s="312">
        <v>60</v>
      </c>
      <c r="F57" s="313">
        <f>AVERAGE(E57,G57)</f>
        <v>76.5</v>
      </c>
      <c r="G57" s="312">
        <v>93</v>
      </c>
      <c r="H57" s="314">
        <f t="shared" ref="H57:N57" si="1">AVERAGE($C$57:$G$57)</f>
        <v>62.9</v>
      </c>
      <c r="I57" s="313">
        <f t="shared" si="1"/>
        <v>62.9</v>
      </c>
      <c r="J57" s="313">
        <f t="shared" si="1"/>
        <v>62.9</v>
      </c>
      <c r="K57" s="313">
        <f t="shared" si="1"/>
        <v>62.9</v>
      </c>
      <c r="L57" s="313">
        <f t="shared" si="1"/>
        <v>62.9</v>
      </c>
      <c r="M57" s="313">
        <f t="shared" si="1"/>
        <v>62.9</v>
      </c>
      <c r="N57" s="313">
        <f t="shared" si="1"/>
        <v>62.9</v>
      </c>
      <c r="O57" s="361" t="s">
        <v>173</v>
      </c>
      <c r="P57" s="361"/>
    </row>
    <row r="58" spans="1:16" ht="15" customHeight="1" x14ac:dyDescent="0.3">
      <c r="A58" s="152"/>
      <c r="B58" s="300" t="s">
        <v>174</v>
      </c>
      <c r="C58" s="314">
        <f>C57</f>
        <v>38</v>
      </c>
      <c r="D58" s="314">
        <f>D57/(E$79/$D$79)</f>
        <v>41.903128877982127</v>
      </c>
      <c r="E58" s="314">
        <f>E57/(F$79/$D$79)</f>
        <v>45.240026885841303</v>
      </c>
      <c r="F58" s="313">
        <f>F57/(G$79/$D$79)</f>
        <v>47.645263014352437</v>
      </c>
      <c r="G58" s="314">
        <f>G57/(H$79/$D$79)</f>
        <v>43.435980687196867</v>
      </c>
      <c r="H58" s="314">
        <f t="shared" ref="H58:N58" si="2">AVERAGE($C$58:$G$58)</f>
        <v>43.244879893074547</v>
      </c>
      <c r="I58" s="313">
        <f t="shared" si="2"/>
        <v>43.244879893074547</v>
      </c>
      <c r="J58" s="313">
        <f t="shared" si="2"/>
        <v>43.244879893074547</v>
      </c>
      <c r="K58" s="313">
        <f t="shared" si="2"/>
        <v>43.244879893074547</v>
      </c>
      <c r="L58" s="313">
        <f t="shared" si="2"/>
        <v>43.244879893074547</v>
      </c>
      <c r="M58" s="313">
        <f t="shared" si="2"/>
        <v>43.244879893074547</v>
      </c>
      <c r="N58" s="313">
        <f t="shared" si="2"/>
        <v>43.244879893074547</v>
      </c>
      <c r="O58" s="361"/>
      <c r="P58" s="361"/>
    </row>
    <row r="59" spans="1:16" ht="15" customHeight="1" x14ac:dyDescent="0.3">
      <c r="A59" s="152"/>
      <c r="B59" s="300" t="s">
        <v>175</v>
      </c>
      <c r="C59" s="314">
        <f>C57/(D79/$E$79)</f>
        <v>42.622115527474328</v>
      </c>
      <c r="D59" s="314">
        <f>D57</f>
        <v>47</v>
      </c>
      <c r="E59" s="314">
        <f>E57/(F$79/$E$79)</f>
        <v>50.742780326167697</v>
      </c>
      <c r="F59" s="313">
        <f>F57/(G79/$E$79)</f>
        <v>53.440576435121827</v>
      </c>
      <c r="G59" s="314">
        <f>G57/(H79/$E$79)</f>
        <v>48.719299655232859</v>
      </c>
      <c r="H59" s="314">
        <f t="shared" ref="H59:N59" si="3">AVERAGE($C$59:$G$59)</f>
        <v>48.504954388799341</v>
      </c>
      <c r="I59" s="313">
        <f t="shared" si="3"/>
        <v>48.504954388799341</v>
      </c>
      <c r="J59" s="313">
        <f t="shared" si="3"/>
        <v>48.504954388799341</v>
      </c>
      <c r="K59" s="313">
        <f t="shared" si="3"/>
        <v>48.504954388799341</v>
      </c>
      <c r="L59" s="313">
        <f t="shared" si="3"/>
        <v>48.504954388799341</v>
      </c>
      <c r="M59" s="313">
        <f t="shared" si="3"/>
        <v>48.504954388799341</v>
      </c>
      <c r="N59" s="313">
        <f t="shared" si="3"/>
        <v>48.504954388799341</v>
      </c>
      <c r="O59" s="361"/>
      <c r="P59" s="361"/>
    </row>
    <row r="60" spans="1:16" ht="5.4" customHeight="1" x14ac:dyDescent="0.3">
      <c r="A60" s="152"/>
      <c r="B60" s="185"/>
      <c r="C60" s="187"/>
      <c r="D60" s="187"/>
      <c r="E60" s="188"/>
      <c r="F60" s="188"/>
      <c r="G60" s="187"/>
      <c r="H60" s="187"/>
      <c r="I60" s="187"/>
      <c r="J60" s="187"/>
      <c r="K60" s="187"/>
      <c r="L60" s="187"/>
      <c r="M60" s="187"/>
      <c r="N60" s="187"/>
      <c r="O60" s="152"/>
      <c r="P60" s="153"/>
    </row>
    <row r="61" spans="1:16" ht="6" customHeight="1" x14ac:dyDescent="0.3">
      <c r="A61" s="152"/>
      <c r="B61" s="151"/>
      <c r="C61" s="150"/>
      <c r="D61" s="150"/>
      <c r="E61" s="151"/>
      <c r="F61" s="151"/>
      <c r="G61" s="150"/>
      <c r="H61" s="150"/>
      <c r="I61" s="150"/>
      <c r="J61" s="150"/>
      <c r="K61" s="150"/>
      <c r="L61" s="150"/>
      <c r="M61" s="150"/>
      <c r="N61" s="150"/>
      <c r="O61" s="152"/>
      <c r="P61" s="153"/>
    </row>
    <row r="62" spans="1:16" ht="15" customHeight="1" x14ac:dyDescent="0.3">
      <c r="A62" s="152"/>
      <c r="B62" s="315" t="s">
        <v>170</v>
      </c>
      <c r="C62" s="299">
        <v>52</v>
      </c>
      <c r="D62" s="150"/>
      <c r="E62" s="151"/>
      <c r="F62" s="151"/>
      <c r="G62" s="150"/>
      <c r="H62" s="150"/>
      <c r="I62" s="150"/>
      <c r="J62" s="150"/>
      <c r="K62" s="150"/>
      <c r="L62" s="150"/>
      <c r="M62" s="150"/>
      <c r="N62" s="150"/>
      <c r="O62" s="152"/>
      <c r="P62" s="153"/>
    </row>
    <row r="63" spans="1:16" ht="15" customHeight="1" x14ac:dyDescent="0.3">
      <c r="A63" s="164"/>
      <c r="B63" s="315" t="s">
        <v>230</v>
      </c>
      <c r="C63" s="320">
        <v>52588</v>
      </c>
      <c r="D63" s="192" t="s">
        <v>222</v>
      </c>
      <c r="E63" s="184"/>
      <c r="F63" s="167"/>
      <c r="G63" s="165"/>
      <c r="H63" s="165"/>
      <c r="I63" s="165"/>
      <c r="J63" s="165"/>
      <c r="K63" s="165"/>
      <c r="L63" s="165"/>
      <c r="M63" s="165"/>
      <c r="N63" s="165"/>
      <c r="O63" s="164"/>
      <c r="P63" s="166"/>
    </row>
    <row r="64" spans="1:16" ht="15" customHeight="1" x14ac:dyDescent="0.3">
      <c r="A64" s="152"/>
      <c r="B64" s="185"/>
      <c r="C64" s="150"/>
      <c r="D64" s="150"/>
      <c r="E64" s="151"/>
      <c r="F64" s="151"/>
      <c r="G64" s="150"/>
      <c r="H64" s="150"/>
      <c r="I64" s="150"/>
      <c r="J64" s="150"/>
      <c r="K64" s="150"/>
      <c r="L64" s="150"/>
      <c r="M64" s="150"/>
      <c r="N64" s="150"/>
      <c r="O64" s="152"/>
      <c r="P64" s="153"/>
    </row>
    <row r="65" spans="1:17" ht="18" customHeight="1" x14ac:dyDescent="0.3">
      <c r="A65" s="152"/>
      <c r="B65" s="167" t="s">
        <v>286</v>
      </c>
      <c r="C65" s="150"/>
      <c r="D65" s="150"/>
      <c r="E65" s="151"/>
      <c r="F65" s="151"/>
      <c r="G65" s="150"/>
      <c r="H65" s="150"/>
      <c r="I65" s="150"/>
      <c r="J65" s="150"/>
      <c r="K65" s="150"/>
      <c r="L65" s="150"/>
      <c r="M65" s="150"/>
      <c r="N65" s="150"/>
      <c r="O65" s="152"/>
      <c r="P65" s="153"/>
    </row>
    <row r="66" spans="1:17" ht="15" customHeight="1" x14ac:dyDescent="0.3">
      <c r="A66" s="152"/>
      <c r="B66" s="298" t="s">
        <v>213</v>
      </c>
      <c r="C66" s="298" t="s">
        <v>64</v>
      </c>
      <c r="D66" s="298" t="s">
        <v>68</v>
      </c>
      <c r="E66" s="298" t="s">
        <v>69</v>
      </c>
      <c r="F66" s="298" t="s">
        <v>71</v>
      </c>
      <c r="G66" s="150"/>
      <c r="H66" s="150"/>
      <c r="I66" s="150"/>
      <c r="J66" s="150"/>
      <c r="K66" s="150"/>
      <c r="L66" s="150"/>
      <c r="M66" s="150"/>
      <c r="N66" s="150"/>
      <c r="O66" s="152"/>
      <c r="P66" s="153"/>
    </row>
    <row r="67" spans="1:17" ht="15" customHeight="1" x14ac:dyDescent="0.3">
      <c r="A67" s="152"/>
      <c r="B67" s="300" t="s">
        <v>75</v>
      </c>
      <c r="C67" s="319">
        <v>22500</v>
      </c>
      <c r="D67" s="319">
        <v>27500</v>
      </c>
      <c r="E67" s="316">
        <f>C67+D67</f>
        <v>50000</v>
      </c>
      <c r="F67" s="317" t="s">
        <v>219</v>
      </c>
      <c r="G67" s="150"/>
      <c r="H67" s="150"/>
      <c r="I67" s="150"/>
      <c r="J67" s="150"/>
      <c r="K67" s="150"/>
      <c r="L67" s="150"/>
      <c r="M67" s="150"/>
      <c r="N67" s="150"/>
      <c r="O67" s="152"/>
      <c r="P67" s="153"/>
    </row>
    <row r="68" spans="1:17" ht="15" customHeight="1" x14ac:dyDescent="0.3">
      <c r="A68" s="152"/>
      <c r="B68" s="300" t="s">
        <v>76</v>
      </c>
      <c r="C68" s="319">
        <v>33441</v>
      </c>
      <c r="D68" s="319">
        <v>26414</v>
      </c>
      <c r="E68" s="316">
        <f>C68+D68</f>
        <v>59855</v>
      </c>
      <c r="F68" s="318" t="s">
        <v>73</v>
      </c>
      <c r="G68" s="150"/>
      <c r="H68" s="150"/>
      <c r="I68" s="150"/>
      <c r="J68" s="150"/>
      <c r="K68" s="150"/>
      <c r="L68" s="150"/>
      <c r="M68" s="150"/>
      <c r="N68" s="150"/>
      <c r="O68" s="152"/>
      <c r="P68" s="153"/>
    </row>
    <row r="69" spans="1:17" ht="15" customHeight="1" x14ac:dyDescent="0.3">
      <c r="A69" s="152"/>
      <c r="B69" s="300" t="s">
        <v>78</v>
      </c>
      <c r="C69" s="319">
        <v>24718</v>
      </c>
      <c r="D69" s="319">
        <v>23041</v>
      </c>
      <c r="E69" s="316">
        <f>C69+D69</f>
        <v>47759</v>
      </c>
      <c r="F69" s="318" t="s">
        <v>79</v>
      </c>
      <c r="G69" s="150"/>
      <c r="H69" s="150"/>
      <c r="I69" s="150"/>
      <c r="J69" s="150"/>
      <c r="K69" s="150"/>
      <c r="L69" s="150"/>
      <c r="M69" s="150"/>
      <c r="N69" s="150"/>
      <c r="O69" s="152"/>
      <c r="P69" s="153"/>
    </row>
    <row r="70" spans="1:17" ht="15" customHeight="1" x14ac:dyDescent="0.3">
      <c r="A70" s="152"/>
      <c r="B70" s="300" t="s">
        <v>214</v>
      </c>
      <c r="C70" s="319">
        <v>21388</v>
      </c>
      <c r="D70" s="319">
        <v>19390</v>
      </c>
      <c r="E70" s="316">
        <f>C70+D70</f>
        <v>40778</v>
      </c>
      <c r="F70" s="317"/>
      <c r="G70" s="150"/>
      <c r="H70" s="150"/>
      <c r="I70" s="150"/>
      <c r="J70" s="150"/>
      <c r="K70" s="150"/>
      <c r="L70" s="150"/>
      <c r="M70" s="150"/>
      <c r="N70" s="150"/>
      <c r="O70" s="152"/>
      <c r="P70" s="153"/>
    </row>
    <row r="71" spans="1:17" ht="15" customHeight="1" x14ac:dyDescent="0.3">
      <c r="A71" s="152"/>
      <c r="B71" s="300" t="s">
        <v>215</v>
      </c>
      <c r="C71" s="319">
        <v>22277</v>
      </c>
      <c r="D71" s="319">
        <v>20125</v>
      </c>
      <c r="E71" s="316">
        <v>42402</v>
      </c>
      <c r="F71" s="317" t="s">
        <v>81</v>
      </c>
      <c r="G71" s="150"/>
      <c r="H71" s="150"/>
      <c r="I71" s="150"/>
      <c r="J71" s="150"/>
      <c r="K71" s="150"/>
      <c r="L71" s="150"/>
      <c r="M71" s="150"/>
      <c r="N71" s="150"/>
      <c r="O71" s="152"/>
      <c r="P71" s="153"/>
    </row>
    <row r="72" spans="1:17" ht="6.6" customHeight="1" x14ac:dyDescent="0.3">
      <c r="A72" s="152"/>
      <c r="B72" s="185"/>
      <c r="C72" s="189"/>
      <c r="D72" s="189"/>
      <c r="E72" s="190"/>
      <c r="F72" s="184"/>
      <c r="G72" s="150"/>
      <c r="H72" s="150"/>
      <c r="I72" s="150"/>
      <c r="J72" s="150"/>
      <c r="K72" s="150"/>
      <c r="L72" s="150"/>
      <c r="M72" s="150"/>
      <c r="N72" s="150"/>
      <c r="O72" s="152"/>
      <c r="P72" s="153"/>
    </row>
    <row r="73" spans="1:17" ht="8.4" customHeight="1" x14ac:dyDescent="0.3">
      <c r="A73" s="152"/>
      <c r="B73" s="185"/>
      <c r="C73" s="189"/>
      <c r="D73" s="189"/>
      <c r="E73" s="190"/>
      <c r="F73" s="184"/>
      <c r="G73" s="150"/>
      <c r="H73" s="150"/>
      <c r="I73" s="150"/>
      <c r="J73" s="150"/>
      <c r="K73" s="150"/>
      <c r="L73" s="150"/>
      <c r="M73" s="150"/>
      <c r="N73" s="150"/>
      <c r="O73" s="152"/>
      <c r="P73" s="153"/>
    </row>
    <row r="74" spans="1:17" ht="22.5" customHeight="1" x14ac:dyDescent="0.35">
      <c r="A74" s="259"/>
      <c r="B74" s="279" t="s">
        <v>285</v>
      </c>
      <c r="C74" s="29"/>
      <c r="D74" s="29"/>
      <c r="E74" s="29"/>
      <c r="F74" s="29"/>
      <c r="G74" s="29"/>
      <c r="H74" s="29"/>
      <c r="I74" s="29"/>
      <c r="J74" s="29"/>
      <c r="K74" s="29"/>
      <c r="L74" s="29"/>
      <c r="M74" s="29"/>
      <c r="N74" s="29"/>
      <c r="O74" s="29"/>
      <c r="P74" s="29"/>
      <c r="Q74" s="280"/>
    </row>
    <row r="75" spans="1:17" ht="12" customHeight="1" x14ac:dyDescent="0.3">
      <c r="A75" s="152"/>
      <c r="B75" s="185"/>
      <c r="C75" s="189"/>
      <c r="D75" s="189"/>
      <c r="E75" s="190"/>
      <c r="F75" s="184"/>
      <c r="G75" s="150"/>
      <c r="H75" s="150"/>
      <c r="I75" s="150"/>
      <c r="J75" s="150"/>
      <c r="K75" s="150"/>
      <c r="L75" s="150"/>
      <c r="M75" s="150"/>
      <c r="N75" s="150"/>
      <c r="O75" s="152"/>
      <c r="P75" s="153"/>
    </row>
    <row r="76" spans="1:17" ht="17.25" customHeight="1" x14ac:dyDescent="0.3">
      <c r="A76" s="154"/>
      <c r="B76" s="167" t="s">
        <v>288</v>
      </c>
      <c r="C76" s="150"/>
      <c r="D76" s="150"/>
      <c r="E76" s="151"/>
      <c r="F76" s="151"/>
      <c r="G76" s="150"/>
      <c r="H76" s="150"/>
      <c r="I76" s="150"/>
      <c r="J76" s="150"/>
      <c r="K76" s="150"/>
      <c r="L76" s="150"/>
      <c r="M76" s="150"/>
      <c r="N76" s="150"/>
      <c r="O76" s="152"/>
      <c r="P76" s="153"/>
    </row>
    <row r="77" spans="1:17" ht="15" customHeight="1" x14ac:dyDescent="0.3">
      <c r="A77" s="154"/>
      <c r="B77" s="298" t="s">
        <v>88</v>
      </c>
      <c r="C77" s="298">
        <v>2017</v>
      </c>
      <c r="D77" s="298">
        <v>2018</v>
      </c>
      <c r="E77" s="298">
        <v>2019</v>
      </c>
      <c r="F77" s="298">
        <v>2020</v>
      </c>
      <c r="G77" s="298">
        <v>2021</v>
      </c>
      <c r="H77" s="298">
        <v>2022</v>
      </c>
      <c r="I77" s="298">
        <v>2023</v>
      </c>
      <c r="J77" s="298" t="s">
        <v>171</v>
      </c>
      <c r="L77" s="150"/>
      <c r="M77" s="150"/>
      <c r="N77" s="150"/>
      <c r="O77" s="152"/>
      <c r="P77" s="153"/>
    </row>
    <row r="78" spans="1:17" ht="15" customHeight="1" x14ac:dyDescent="0.3">
      <c r="A78" s="154"/>
      <c r="B78" s="321" t="s">
        <v>289</v>
      </c>
      <c r="C78" s="324">
        <v>1</v>
      </c>
      <c r="D78" s="324">
        <v>102.291</v>
      </c>
      <c r="E78" s="324">
        <v>103.979</v>
      </c>
      <c r="F78" s="324">
        <v>105.361</v>
      </c>
      <c r="G78" s="324">
        <v>110.172</v>
      </c>
      <c r="H78" s="324">
        <v>118.026</v>
      </c>
      <c r="I78" s="324">
        <v>122.274</v>
      </c>
      <c r="J78" s="294" t="s">
        <v>187</v>
      </c>
      <c r="L78" s="150"/>
      <c r="M78" s="150"/>
      <c r="N78" s="150"/>
      <c r="O78" s="152"/>
      <c r="P78" s="153"/>
    </row>
    <row r="79" spans="1:17" ht="15" customHeight="1" x14ac:dyDescent="0.3">
      <c r="A79" s="154"/>
      <c r="B79" s="321" t="s">
        <v>290</v>
      </c>
      <c r="C79" s="324">
        <v>114.73699999999999</v>
      </c>
      <c r="D79" s="324">
        <v>127.883</v>
      </c>
      <c r="E79" s="324">
        <v>143.43799999999999</v>
      </c>
      <c r="F79" s="324">
        <v>169.60599999999999</v>
      </c>
      <c r="G79" s="324">
        <v>205.33099999999999</v>
      </c>
      <c r="H79" s="324">
        <v>273.80799999999999</v>
      </c>
      <c r="I79" s="324">
        <v>361.96699999999998</v>
      </c>
      <c r="J79" s="323"/>
      <c r="L79" s="150"/>
      <c r="M79" s="150"/>
      <c r="N79" s="150"/>
      <c r="O79" s="152"/>
      <c r="P79" s="153"/>
    </row>
    <row r="80" spans="1:17" ht="6" customHeight="1" x14ac:dyDescent="0.3">
      <c r="A80" s="154"/>
      <c r="B80" s="151"/>
      <c r="C80" s="150"/>
      <c r="D80" s="150"/>
      <c r="E80" s="151"/>
      <c r="F80" s="151"/>
      <c r="G80" s="150"/>
      <c r="H80" s="150"/>
      <c r="I80" s="150"/>
      <c r="J80" s="150"/>
      <c r="K80" s="150"/>
      <c r="L80" s="150"/>
      <c r="M80" s="150"/>
      <c r="N80" s="150"/>
      <c r="O80" s="152"/>
      <c r="P80" s="153"/>
    </row>
    <row r="81" spans="1:16" ht="6" customHeight="1" x14ac:dyDescent="0.3">
      <c r="A81" s="154"/>
      <c r="B81" s="151"/>
      <c r="C81" s="150"/>
      <c r="D81" s="150"/>
      <c r="E81" s="151"/>
      <c r="F81" s="151"/>
      <c r="G81" s="150"/>
      <c r="H81" s="150"/>
      <c r="I81" s="150"/>
      <c r="J81" s="150"/>
      <c r="K81" s="150"/>
      <c r="L81" s="150"/>
      <c r="M81" s="150"/>
      <c r="N81" s="150"/>
      <c r="O81" s="152"/>
      <c r="P81" s="153"/>
    </row>
    <row r="82" spans="1:16" ht="15.75" customHeight="1" x14ac:dyDescent="0.3">
      <c r="A82" s="154"/>
      <c r="B82" s="167" t="s">
        <v>291</v>
      </c>
      <c r="C82" s="150"/>
      <c r="D82" s="150"/>
      <c r="E82" s="151"/>
      <c r="F82" s="151"/>
      <c r="G82" s="150"/>
      <c r="H82" s="150"/>
      <c r="I82" s="150"/>
      <c r="J82" s="150"/>
      <c r="K82" s="150"/>
      <c r="L82" s="150"/>
      <c r="M82" s="150"/>
      <c r="N82" s="150"/>
      <c r="O82" s="152"/>
      <c r="P82" s="153"/>
    </row>
    <row r="83" spans="1:16" ht="15" customHeight="1" x14ac:dyDescent="0.3">
      <c r="A83" s="180"/>
      <c r="B83" s="298" t="s">
        <v>88</v>
      </c>
      <c r="C83" s="298"/>
      <c r="D83" s="298">
        <v>2017</v>
      </c>
      <c r="E83" s="298">
        <v>2021</v>
      </c>
      <c r="F83" s="298" t="s">
        <v>71</v>
      </c>
      <c r="G83" s="150"/>
      <c r="H83" s="150"/>
      <c r="I83" s="150"/>
      <c r="J83" s="150"/>
      <c r="K83" s="150"/>
      <c r="L83" s="150"/>
      <c r="M83" s="150"/>
      <c r="N83" s="150"/>
      <c r="O83" s="152"/>
      <c r="P83" s="153"/>
    </row>
    <row r="84" spans="1:16" ht="15" customHeight="1" x14ac:dyDescent="0.3">
      <c r="A84" s="154"/>
      <c r="B84" s="325" t="s">
        <v>188</v>
      </c>
      <c r="C84" s="322" t="s">
        <v>189</v>
      </c>
      <c r="D84" s="326">
        <v>3.024E-2</v>
      </c>
      <c r="E84" s="326">
        <v>1.7399999999999999E-2</v>
      </c>
      <c r="F84" s="294" t="s">
        <v>190</v>
      </c>
      <c r="G84" s="150"/>
      <c r="H84" s="150"/>
      <c r="I84" s="150"/>
      <c r="J84" s="150"/>
      <c r="K84" s="150"/>
      <c r="L84" s="150"/>
      <c r="M84" s="150"/>
      <c r="N84" s="150"/>
      <c r="O84" s="152"/>
      <c r="P84" s="153"/>
    </row>
    <row r="85" spans="1:16" ht="15" customHeight="1" x14ac:dyDescent="0.3">
      <c r="A85" s="154"/>
      <c r="B85" s="325" t="s">
        <v>191</v>
      </c>
      <c r="C85" s="322" t="s">
        <v>189</v>
      </c>
      <c r="D85" s="326">
        <v>3.6229999999999998E-2</v>
      </c>
      <c r="E85" s="326">
        <v>1.8579999999999999E-2</v>
      </c>
      <c r="F85" s="295"/>
      <c r="G85" s="150"/>
      <c r="H85" s="150"/>
      <c r="I85" s="150"/>
      <c r="J85" s="150"/>
      <c r="K85" s="150"/>
      <c r="L85" s="150"/>
      <c r="M85" s="150"/>
      <c r="N85" s="150"/>
      <c r="O85" s="152"/>
      <c r="P85" s="153"/>
    </row>
    <row r="86" spans="1:16" ht="15" customHeight="1" x14ac:dyDescent="0.3">
      <c r="A86" s="154"/>
      <c r="B86" s="325"/>
      <c r="C86" s="322" t="s">
        <v>192</v>
      </c>
      <c r="D86" s="326">
        <v>9.32</v>
      </c>
      <c r="E86" s="326"/>
      <c r="F86" s="294" t="s">
        <v>235</v>
      </c>
      <c r="G86" s="150"/>
      <c r="H86" s="150"/>
      <c r="I86" s="150"/>
      <c r="J86" s="150"/>
      <c r="K86" s="150"/>
      <c r="L86" s="150"/>
      <c r="M86" s="150"/>
      <c r="N86" s="150"/>
      <c r="O86" s="152"/>
      <c r="P86" s="153"/>
    </row>
    <row r="87" spans="1:16" ht="15" customHeight="1" x14ac:dyDescent="0.3">
      <c r="A87" s="154"/>
      <c r="B87" s="325" t="s">
        <v>193</v>
      </c>
      <c r="C87" s="322" t="s">
        <v>189</v>
      </c>
      <c r="D87" s="326">
        <v>0.8347</v>
      </c>
      <c r="E87" s="326">
        <v>0.88295000000000001</v>
      </c>
      <c r="F87" s="295"/>
      <c r="G87" s="150"/>
      <c r="H87" s="150"/>
      <c r="I87" s="150"/>
      <c r="J87" s="150"/>
      <c r="K87" s="150"/>
      <c r="L87" s="150"/>
      <c r="M87" s="150"/>
      <c r="N87" s="150"/>
      <c r="O87" s="152"/>
      <c r="P87" s="153"/>
    </row>
    <row r="88" spans="1:16" ht="15" customHeight="1" x14ac:dyDescent="0.3">
      <c r="A88" s="154"/>
      <c r="B88" s="325"/>
      <c r="C88" s="322" t="s">
        <v>192</v>
      </c>
      <c r="D88" s="326">
        <v>0.74</v>
      </c>
      <c r="E88" s="326"/>
      <c r="F88" s="294" t="s">
        <v>236</v>
      </c>
      <c r="G88" s="150"/>
      <c r="H88" s="150"/>
      <c r="I88" s="150"/>
      <c r="J88" s="150"/>
      <c r="K88" s="150"/>
      <c r="L88" s="150"/>
      <c r="M88" s="150"/>
      <c r="N88" s="150"/>
      <c r="O88" s="152"/>
      <c r="P88" s="153"/>
    </row>
    <row r="89" spans="1:16" ht="15" customHeight="1" x14ac:dyDescent="0.3">
      <c r="A89" s="152"/>
      <c r="B89" s="167"/>
      <c r="C89" s="150"/>
      <c r="D89" s="150"/>
      <c r="E89" s="151"/>
      <c r="F89" s="151"/>
      <c r="G89" s="150"/>
      <c r="H89" s="150"/>
      <c r="I89" s="150"/>
      <c r="J89" s="150"/>
      <c r="K89" s="150"/>
      <c r="L89" s="150"/>
      <c r="M89" s="150"/>
      <c r="N89" s="150"/>
      <c r="O89" s="152"/>
      <c r="P89" s="153"/>
    </row>
    <row r="90" spans="1:16" ht="15.6" customHeight="1" x14ac:dyDescent="0.3">
      <c r="A90" s="168"/>
      <c r="B90" s="169" t="s">
        <v>295</v>
      </c>
      <c r="C90" s="170"/>
      <c r="D90" s="170"/>
      <c r="E90" s="169"/>
      <c r="F90" s="169"/>
      <c r="G90" s="170"/>
      <c r="H90" s="170"/>
      <c r="I90" s="170"/>
      <c r="J90" s="170"/>
      <c r="K90" s="170"/>
      <c r="L90" s="170"/>
      <c r="M90" s="170"/>
      <c r="N90" s="170"/>
      <c r="O90" s="171"/>
      <c r="P90" s="202"/>
    </row>
    <row r="91" spans="1:16" ht="6" customHeight="1" x14ac:dyDescent="0.3">
      <c r="A91" s="154"/>
      <c r="B91" s="151"/>
      <c r="C91" s="150"/>
      <c r="D91" s="150"/>
      <c r="E91" s="151"/>
      <c r="F91" s="151"/>
      <c r="G91" s="150"/>
      <c r="H91" s="150"/>
      <c r="I91" s="150"/>
      <c r="J91" s="150"/>
      <c r="K91" s="150"/>
      <c r="L91" s="150"/>
      <c r="M91" s="150"/>
      <c r="N91" s="150"/>
      <c r="O91" s="152"/>
      <c r="P91" s="152"/>
    </row>
    <row r="93" spans="1:16" x14ac:dyDescent="0.3">
      <c r="A93" s="4"/>
      <c r="B93" s="143"/>
      <c r="C93" s="147"/>
      <c r="D93" s="147"/>
      <c r="E93" s="143"/>
      <c r="F93" s="143"/>
      <c r="G93" s="147"/>
      <c r="H93" s="147"/>
      <c r="I93" s="147"/>
      <c r="J93" s="147"/>
      <c r="K93" s="147"/>
      <c r="L93" s="147"/>
      <c r="M93" s="147"/>
      <c r="N93" s="147"/>
      <c r="O93" s="4"/>
    </row>
    <row r="311" ht="14.4" customHeight="1" x14ac:dyDescent="0.3"/>
    <row r="318" ht="14.4" customHeight="1" x14ac:dyDescent="0.3"/>
  </sheetData>
  <mergeCells count="17">
    <mergeCell ref="C33:D33"/>
    <mergeCell ref="C34:D34"/>
    <mergeCell ref="C37:D37"/>
    <mergeCell ref="C38:D38"/>
    <mergeCell ref="E29:E33"/>
    <mergeCell ref="C29:D29"/>
    <mergeCell ref="C30:D30"/>
    <mergeCell ref="C31:D31"/>
    <mergeCell ref="C32:D32"/>
    <mergeCell ref="E4:J4"/>
    <mergeCell ref="E5:J5"/>
    <mergeCell ref="E6:J6"/>
    <mergeCell ref="O56:P56"/>
    <mergeCell ref="O57:P59"/>
    <mergeCell ref="L42:L45"/>
    <mergeCell ref="O50:P52"/>
    <mergeCell ref="O49:P49"/>
  </mergeCells>
  <phoneticPr fontId="15" type="noConversion"/>
  <conditionalFormatting sqref="B12:C12">
    <cfRule type="cellIs" dxfId="4" priority="1" operator="lessThan">
      <formula>0</formula>
    </cfRule>
  </conditionalFormatting>
  <conditionalFormatting sqref="C4:C8 C13 C90">
    <cfRule type="cellIs" dxfId="3" priority="11" operator="lessThan">
      <formula>0</formula>
    </cfRule>
  </conditionalFormatting>
  <conditionalFormatting sqref="C78:I79">
    <cfRule type="cellIs" dxfId="2" priority="4" operator="lessThan">
      <formula>0</formula>
    </cfRule>
  </conditionalFormatting>
  <conditionalFormatting sqref="D84:E88">
    <cfRule type="cellIs" dxfId="1" priority="3" operator="lessThan">
      <formula>0</formula>
    </cfRule>
  </conditionalFormatting>
  <hyperlinks>
    <hyperlink ref="J78" r:id="rId1" xr:uid="{E4BFEEAD-DEF4-4805-A066-6677891A5ECB}"/>
    <hyperlink ref="F69" r:id="rId2" xr:uid="{2C563B7F-930F-4B62-969D-77FA09544D0D}"/>
    <hyperlink ref="E17" r:id="rId3" xr:uid="{FE1447EF-6D36-44AA-B511-79B301B230BB}"/>
    <hyperlink ref="E18" r:id="rId4" xr:uid="{B8BCFC6D-729F-4215-9A23-2CB7825DBAD0}"/>
    <hyperlink ref="E19" r:id="rId5" xr:uid="{2B2B1BD8-8A2B-42C5-97D3-34BAA03B4602}"/>
    <hyperlink ref="E20" r:id="rId6" xr:uid="{7D7BA770-E489-4081-9688-A70A581A45E9}"/>
    <hyperlink ref="E21" r:id="rId7" xr:uid="{3F0DC5C1-0327-4F02-91EA-B9445E826C9B}"/>
    <hyperlink ref="E22" r:id="rId8" xr:uid="{1C9A2233-5A5E-4913-9455-805100EA81BF}"/>
    <hyperlink ref="E24" r:id="rId9" xr:uid="{4AD49B21-E779-4B3C-BE54-6281F407D57D}"/>
    <hyperlink ref="F17" r:id="rId10" xr:uid="{B2773324-AA96-46B4-90A6-17731D0A0582}"/>
    <hyperlink ref="F18" r:id="rId11" xr:uid="{676162E8-8B64-4DA6-BF29-5D3DAE548192}"/>
    <hyperlink ref="F19" r:id="rId12" xr:uid="{A4AB0C17-9AAB-4BF0-AF30-108A2D74D183}"/>
    <hyperlink ref="F20" r:id="rId13" xr:uid="{5205DCEC-A35E-4323-9718-1A37817A466E}"/>
    <hyperlink ref="F21" r:id="rId14" xr:uid="{2EE9E6E3-A169-4440-B37E-C35B18F04C3E}"/>
    <hyperlink ref="F22" r:id="rId15" xr:uid="{E3DAA3CB-13BF-4B67-B42B-31FCE21C9EB1}"/>
    <hyperlink ref="F24" r:id="rId16" xr:uid="{94BD8389-DE43-4CF9-B7E4-E95E2C8381B9}"/>
    <hyperlink ref="E38" r:id="rId17" xr:uid="{E99FEDFE-9031-4CE4-9A1D-ED61C27F03C7}"/>
    <hyperlink ref="D63" r:id="rId18" xr:uid="{B6D8C309-94D0-41D3-9257-B6DE3F72C672}"/>
    <hyperlink ref="F68" r:id="rId19" xr:uid="{6279D68A-6807-4FFA-81B3-F1764989614B}"/>
    <hyperlink ref="F86" r:id="rId20" xr:uid="{480E117A-5ECD-437E-8E53-CD9ABC302B01}"/>
    <hyperlink ref="F84" r:id="rId21" xr:uid="{D8E206D0-690E-467A-BA0E-7C18BBF5FBE5}"/>
    <hyperlink ref="F88" r:id="rId22" xr:uid="{B7632469-A2DD-4446-BC2F-8AFFA8217BC1}"/>
  </hyperlinks>
  <pageMargins left="0.7" right="0.7" top="0.75" bottom="0.75" header="0.3" footer="0.3"/>
  <pageSetup paperSize="9" orientation="portrait" r:id="rId23"/>
  <legacyDrawing r:id="rId2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976F-1607-4BD4-BF7D-C647A3148E7E}">
  <dimension ref="A1:AE113"/>
  <sheetViews>
    <sheetView showGridLines="0" tabSelected="1" zoomScaleNormal="100" workbookViewId="0">
      <pane xSplit="3" topLeftCell="G1" activePane="topRight" state="frozen"/>
      <selection activeCell="A6" sqref="A6"/>
      <selection pane="topRight" activeCell="C5" sqref="C5"/>
    </sheetView>
  </sheetViews>
  <sheetFormatPr defaultColWidth="9.44140625" defaultRowHeight="14.4" x14ac:dyDescent="0.3"/>
  <cols>
    <col min="1" max="1" width="3.5546875" customWidth="1"/>
    <col min="2" max="2" width="55.5546875" customWidth="1"/>
    <col min="3" max="3" width="48.44140625" customWidth="1"/>
    <col min="4" max="4" width="30.5546875" customWidth="1"/>
    <col min="5" max="5" width="19.5546875" customWidth="1"/>
    <col min="6" max="6" width="16.109375" customWidth="1"/>
    <col min="7" max="7" width="33.109375" customWidth="1"/>
    <col min="8" max="8" width="12" bestFit="1" customWidth="1"/>
    <col min="9" max="9" width="23.5546875" customWidth="1"/>
    <col min="10" max="10" width="22.5546875" customWidth="1"/>
    <col min="11" max="11" width="12.109375" customWidth="1"/>
    <col min="12" max="12" width="24.5546875" customWidth="1"/>
    <col min="13" max="13" width="17.44140625" customWidth="1"/>
    <col min="14" max="14" width="15" customWidth="1"/>
    <col min="15" max="15" width="16" customWidth="1"/>
    <col min="16" max="16" width="9.5546875" bestFit="1" customWidth="1"/>
    <col min="18" max="18" width="10.44140625" customWidth="1"/>
    <col min="19" max="19" width="15.44140625" customWidth="1"/>
    <col min="20" max="25" width="9.5546875" customWidth="1"/>
    <col min="26" max="30" width="9.44140625" customWidth="1"/>
    <col min="31" max="31" width="9.44140625" collapsed="1"/>
  </cols>
  <sheetData>
    <row r="1" spans="1:31" ht="18" x14ac:dyDescent="0.35">
      <c r="A1" s="259"/>
      <c r="B1" s="331" t="s">
        <v>220</v>
      </c>
      <c r="C1" s="27"/>
      <c r="D1" s="28"/>
      <c r="E1" s="29"/>
      <c r="F1" s="29"/>
      <c r="G1" s="29"/>
      <c r="H1" s="29"/>
      <c r="I1" s="29"/>
      <c r="J1" s="29"/>
      <c r="K1" s="29"/>
      <c r="L1" s="29"/>
      <c r="M1" s="29"/>
      <c r="N1" s="29"/>
      <c r="O1" s="29"/>
      <c r="P1" s="132"/>
      <c r="Q1" s="82"/>
      <c r="R1" s="82"/>
      <c r="S1" s="82"/>
      <c r="T1" s="82"/>
      <c r="U1" s="82"/>
      <c r="V1" s="82"/>
      <c r="W1" s="82"/>
      <c r="X1" s="82"/>
      <c r="Y1" s="82"/>
      <c r="Z1" s="82"/>
      <c r="AA1" s="82"/>
      <c r="AB1" s="82"/>
      <c r="AC1" s="82"/>
      <c r="AD1" s="82"/>
      <c r="AE1" s="82"/>
    </row>
    <row r="2" spans="1:31" x14ac:dyDescent="0.3">
      <c r="B2" s="4"/>
      <c r="C2" s="4"/>
      <c r="D2" s="4"/>
      <c r="E2" s="64"/>
      <c r="F2" s="64"/>
      <c r="G2" s="4"/>
      <c r="H2" s="4"/>
      <c r="I2" s="4"/>
      <c r="J2" s="4"/>
      <c r="K2" s="4"/>
      <c r="L2" s="4"/>
      <c r="M2" s="4"/>
      <c r="N2" s="4"/>
      <c r="O2" s="4"/>
      <c r="P2" s="6"/>
      <c r="Q2" s="4"/>
      <c r="R2" s="4"/>
      <c r="S2" s="4"/>
      <c r="T2" s="4"/>
      <c r="U2" s="4"/>
      <c r="V2" s="4"/>
      <c r="W2" s="4"/>
      <c r="X2" s="4"/>
      <c r="Y2" s="4"/>
      <c r="Z2" s="4"/>
      <c r="AA2" s="4"/>
      <c r="AB2" s="4"/>
      <c r="AC2" s="4"/>
      <c r="AD2" s="4"/>
      <c r="AE2" s="4"/>
    </row>
    <row r="3" spans="1:31" ht="21" x14ac:dyDescent="0.4">
      <c r="B3" s="332" t="s">
        <v>232</v>
      </c>
      <c r="C3" s="4"/>
      <c r="D3" s="4"/>
      <c r="E3" s="4"/>
      <c r="F3" s="64"/>
      <c r="G3" s="4"/>
      <c r="H3" s="4"/>
      <c r="I3" s="4"/>
      <c r="J3" s="4"/>
      <c r="K3" s="4"/>
      <c r="L3" s="4"/>
      <c r="M3" s="4"/>
      <c r="N3" s="4"/>
      <c r="O3" s="4"/>
      <c r="P3" s="6"/>
      <c r="Q3" s="4"/>
      <c r="R3" s="133" t="s">
        <v>89</v>
      </c>
      <c r="S3" s="4"/>
      <c r="T3" s="4"/>
      <c r="U3" s="4"/>
      <c r="V3" s="4"/>
      <c r="W3" s="4"/>
      <c r="X3" s="4"/>
      <c r="Y3" s="4"/>
      <c r="Z3" s="4"/>
      <c r="AA3" s="4"/>
      <c r="AB3" s="4"/>
      <c r="AC3" s="4"/>
      <c r="AD3" s="4"/>
      <c r="AE3" s="4"/>
    </row>
    <row r="4" spans="1:31" ht="16.2" thickBot="1" x14ac:dyDescent="0.35">
      <c r="B4" s="337" t="s">
        <v>88</v>
      </c>
      <c r="C4" s="336"/>
      <c r="D4" s="336">
        <v>2018</v>
      </c>
      <c r="E4" s="336">
        <v>2019</v>
      </c>
      <c r="F4" s="336">
        <v>2020</v>
      </c>
      <c r="G4" s="336">
        <v>2021</v>
      </c>
      <c r="H4" s="336">
        <v>2022</v>
      </c>
      <c r="I4" s="336">
        <v>2023</v>
      </c>
      <c r="J4" s="336">
        <v>2024</v>
      </c>
      <c r="K4" s="336">
        <v>2025</v>
      </c>
      <c r="L4" s="336">
        <v>2026</v>
      </c>
      <c r="M4" s="336">
        <v>2027</v>
      </c>
      <c r="N4" s="336">
        <v>2028</v>
      </c>
      <c r="O4" s="336">
        <v>2029</v>
      </c>
      <c r="P4" s="6"/>
      <c r="Q4" s="4"/>
      <c r="R4" s="80" t="s">
        <v>88</v>
      </c>
      <c r="S4" s="65">
        <v>2018</v>
      </c>
      <c r="T4" s="65">
        <v>2019</v>
      </c>
      <c r="U4" s="65">
        <v>2020</v>
      </c>
      <c r="V4" s="65">
        <v>2021</v>
      </c>
      <c r="W4" s="65">
        <v>2022</v>
      </c>
      <c r="X4" s="65">
        <v>2023</v>
      </c>
      <c r="Y4" s="65">
        <v>2024</v>
      </c>
      <c r="Z4" s="65">
        <v>2025</v>
      </c>
      <c r="AA4" s="65">
        <v>2026</v>
      </c>
      <c r="AB4" s="65">
        <v>2027</v>
      </c>
      <c r="AC4" s="65">
        <v>2028</v>
      </c>
      <c r="AD4" s="65">
        <v>2029</v>
      </c>
      <c r="AE4" s="4"/>
    </row>
    <row r="5" spans="1:31" x14ac:dyDescent="0.3">
      <c r="B5" s="375" t="s">
        <v>90</v>
      </c>
      <c r="C5" s="194" t="s">
        <v>243</v>
      </c>
      <c r="D5" s="66" t="s">
        <v>92</v>
      </c>
      <c r="E5" s="207">
        <v>0</v>
      </c>
      <c r="F5" s="328">
        <f>G5</f>
        <v>0.12</v>
      </c>
      <c r="G5" s="328">
        <v>0.12</v>
      </c>
      <c r="H5" s="86">
        <f>G5+G5*'Sensitivity analysis'!$C$9</f>
        <v>0.11159999999999999</v>
      </c>
      <c r="I5" s="86">
        <f>H5+H5*'Sensitivity analysis'!$C$9</f>
        <v>0.10378799999999999</v>
      </c>
      <c r="J5" s="86">
        <f>I5+I5*'Sensitivity analysis'!$C$9</f>
        <v>9.6522839999999999E-2</v>
      </c>
      <c r="K5" s="86">
        <f>J5+J5*'Sensitivity analysis'!$C$9</f>
        <v>8.9766241199999999E-2</v>
      </c>
      <c r="L5" s="86">
        <f>K5+K5*'Sensitivity analysis'!$C$9</f>
        <v>8.3482604315999992E-2</v>
      </c>
      <c r="M5" s="86">
        <f>L5+L5*'Sensitivity analysis'!$C$9</f>
        <v>7.7638822013879991E-2</v>
      </c>
      <c r="N5" s="86">
        <f>M5+M5*'Sensitivity analysis'!$C$9</f>
        <v>7.2204104472908398E-2</v>
      </c>
      <c r="O5" s="134"/>
      <c r="P5" s="6"/>
      <c r="Q5" s="4"/>
      <c r="R5" s="80" t="s">
        <v>88</v>
      </c>
      <c r="S5" s="9"/>
      <c r="T5" s="117">
        <f t="shared" ref="T5:AD5" si="0">E17</f>
        <v>8.2200000000000006</v>
      </c>
      <c r="U5" s="117">
        <f t="shared" si="0"/>
        <v>1.6346000000000003</v>
      </c>
      <c r="V5" s="117">
        <f t="shared" si="0"/>
        <v>1.0551780000000002</v>
      </c>
      <c r="W5" s="117">
        <f t="shared" si="0"/>
        <v>0.98131554000000021</v>
      </c>
      <c r="X5" s="117">
        <f t="shared" si="0"/>
        <v>0.9126234522000003</v>
      </c>
      <c r="Y5" s="117">
        <f t="shared" si="0"/>
        <v>0.84873981054600034</v>
      </c>
      <c r="Z5" s="117">
        <f t="shared" si="0"/>
        <v>0.78932802380778022</v>
      </c>
      <c r="AA5" s="117">
        <f t="shared" si="0"/>
        <v>0.73407506214123552</v>
      </c>
      <c r="AB5" s="117">
        <f t="shared" si="0"/>
        <v>0.68268980779134902</v>
      </c>
      <c r="AC5" s="117">
        <f t="shared" si="0"/>
        <v>0.63490152124595456</v>
      </c>
      <c r="AD5" s="117">
        <f t="shared" si="0"/>
        <v>0</v>
      </c>
      <c r="AE5" s="4"/>
    </row>
    <row r="6" spans="1:31" x14ac:dyDescent="0.3">
      <c r="B6" s="376"/>
      <c r="C6" s="9" t="s">
        <v>93</v>
      </c>
      <c r="D6" s="67" t="s">
        <v>92</v>
      </c>
      <c r="E6" s="68">
        <v>0</v>
      </c>
      <c r="F6" s="68">
        <f>'Model input'!$C$21*F5*'Model input'!$C$37</f>
        <v>5.9280000000000008</v>
      </c>
      <c r="G6" s="68">
        <f>'Model input'!$C$21*G5*'Model input'!$C$37</f>
        <v>5.9280000000000008</v>
      </c>
      <c r="H6" s="68">
        <f>'Model input'!$C$21*H5*'Model input'!$C$37</f>
        <v>5.5130400000000002</v>
      </c>
      <c r="I6" s="68">
        <f>'Model input'!$C$21*I5*'Model input'!$C$37</f>
        <v>5.1271272000000003</v>
      </c>
      <c r="J6" s="68">
        <f>'Model input'!$C$21*J5*'Model input'!$C$37</f>
        <v>4.7682282960000002</v>
      </c>
      <c r="K6" s="68">
        <f>'Model input'!$C$21*K5*'Model input'!$C$37</f>
        <v>4.4344523152800006</v>
      </c>
      <c r="L6" s="68">
        <f>'Model input'!$C$21*L5*'Model input'!$C$37</f>
        <v>4.1240406532103995</v>
      </c>
      <c r="M6" s="68">
        <f>'Model input'!$C$21*M5*'Model input'!$C$37</f>
        <v>3.8353578074856713</v>
      </c>
      <c r="N6" s="68">
        <f>'Model input'!$C$21*N5*'Model input'!$C$37</f>
        <v>3.5668827609616751</v>
      </c>
      <c r="O6" s="135"/>
      <c r="P6" s="6"/>
      <c r="Q6" s="4"/>
      <c r="R6" s="80" t="s">
        <v>95</v>
      </c>
      <c r="S6" s="9"/>
      <c r="T6" s="117">
        <f t="shared" ref="T6:AD14" si="1">S5</f>
        <v>0</v>
      </c>
      <c r="U6" s="117">
        <f t="shared" si="1"/>
        <v>8.2200000000000006</v>
      </c>
      <c r="V6" s="117">
        <f t="shared" si="1"/>
        <v>1.6346000000000003</v>
      </c>
      <c r="W6" s="117">
        <f t="shared" si="1"/>
        <v>1.0551780000000002</v>
      </c>
      <c r="X6" s="117">
        <f t="shared" si="1"/>
        <v>0.98131554000000021</v>
      </c>
      <c r="Y6" s="117">
        <f t="shared" si="1"/>
        <v>0.9126234522000003</v>
      </c>
      <c r="Z6" s="117">
        <f t="shared" si="1"/>
        <v>0.84873981054600034</v>
      </c>
      <c r="AA6" s="117">
        <f t="shared" si="1"/>
        <v>0.78932802380778022</v>
      </c>
      <c r="AB6" s="117">
        <f t="shared" si="1"/>
        <v>0.73407506214123552</v>
      </c>
      <c r="AC6" s="117">
        <f t="shared" si="1"/>
        <v>0.68268980779134902</v>
      </c>
      <c r="AD6" s="117">
        <f t="shared" si="1"/>
        <v>0.63490152124595456</v>
      </c>
      <c r="AE6" s="4"/>
    </row>
    <row r="7" spans="1:31" ht="14.85" customHeight="1" x14ac:dyDescent="0.3">
      <c r="B7" s="376"/>
      <c r="C7" s="9" t="s">
        <v>94</v>
      </c>
      <c r="D7" s="67" t="s">
        <v>92</v>
      </c>
      <c r="E7" s="69">
        <f>E6*'Model input'!D51</f>
        <v>0</v>
      </c>
      <c r="F7" s="69">
        <f>F6*'Model input'!E51</f>
        <v>84.924578470101295</v>
      </c>
      <c r="G7" s="69">
        <f>G6*'Model input'!F51</f>
        <v>127.37540667507587</v>
      </c>
      <c r="H7" s="69">
        <f>H6*'Model input'!G51</f>
        <v>128.74424675685154</v>
      </c>
      <c r="I7" s="69">
        <f>I6*'Model input'!H51</f>
        <v>56.15386109575072</v>
      </c>
      <c r="J7" s="69">
        <f>J6*'Model input'!I51</f>
        <v>79.621220487897645</v>
      </c>
      <c r="K7" s="69">
        <f>K6*'Model input'!J51</f>
        <v>74.047735053744816</v>
      </c>
      <c r="L7" s="69">
        <f>L6*'Model input'!K51</f>
        <v>68.864393599982662</v>
      </c>
      <c r="M7" s="69">
        <f>M6*'Model input'!L51</f>
        <v>64.043886047983875</v>
      </c>
      <c r="N7" s="69">
        <f>N6*'Model input'!M51</f>
        <v>59.560814024625017</v>
      </c>
      <c r="O7" s="135"/>
      <c r="P7" s="6"/>
      <c r="Q7" s="4"/>
      <c r="R7" s="80" t="s">
        <v>97</v>
      </c>
      <c r="S7" s="9"/>
      <c r="T7" s="117">
        <f t="shared" si="1"/>
        <v>0</v>
      </c>
      <c r="U7" s="117">
        <f t="shared" si="1"/>
        <v>0</v>
      </c>
      <c r="V7" s="117">
        <f t="shared" si="1"/>
        <v>8.2200000000000006</v>
      </c>
      <c r="W7" s="117">
        <f t="shared" si="1"/>
        <v>1.6346000000000003</v>
      </c>
      <c r="X7" s="117">
        <f t="shared" si="1"/>
        <v>1.0551780000000002</v>
      </c>
      <c r="Y7" s="117">
        <f t="shared" si="1"/>
        <v>0.98131554000000021</v>
      </c>
      <c r="Z7" s="117">
        <f t="shared" si="1"/>
        <v>0.9126234522000003</v>
      </c>
      <c r="AA7" s="117">
        <f t="shared" si="1"/>
        <v>0.84873981054600034</v>
      </c>
      <c r="AB7" s="117">
        <f t="shared" si="1"/>
        <v>0.78932802380778022</v>
      </c>
      <c r="AC7" s="117">
        <f t="shared" si="1"/>
        <v>0.73407506214123552</v>
      </c>
      <c r="AD7" s="117">
        <f t="shared" si="1"/>
        <v>0.68268980779134902</v>
      </c>
      <c r="AE7" s="4"/>
    </row>
    <row r="8" spans="1:31" x14ac:dyDescent="0.3">
      <c r="B8" s="376"/>
      <c r="C8" s="9" t="s">
        <v>96</v>
      </c>
      <c r="D8" s="67" t="s">
        <v>92</v>
      </c>
      <c r="E8" s="68">
        <f>E6/'Model input'!$C$29</f>
        <v>0</v>
      </c>
      <c r="F8" s="68">
        <f>F6/'Model input'!$C$29</f>
        <v>0.11856000000000001</v>
      </c>
      <c r="G8" s="68">
        <f>G6/'Model input'!$C$29</f>
        <v>0.11856000000000001</v>
      </c>
      <c r="H8" s="68">
        <f>H6/'Model input'!$C$29</f>
        <v>0.11026080000000001</v>
      </c>
      <c r="I8" s="68">
        <f>I6/'Model input'!$C$29</f>
        <v>0.10254254400000001</v>
      </c>
      <c r="J8" s="68">
        <f>J6/'Model input'!$C$29</f>
        <v>9.5364565920000005E-2</v>
      </c>
      <c r="K8" s="68">
        <f>K6/'Model input'!$C$29</f>
        <v>8.8689046305600011E-2</v>
      </c>
      <c r="L8" s="68">
        <f>L6/'Model input'!$C$29</f>
        <v>8.2480813064207986E-2</v>
      </c>
      <c r="M8" s="68">
        <f>M6/'Model input'!$C$29</f>
        <v>7.6707156149713421E-2</v>
      </c>
      <c r="N8" s="68">
        <f>N6/'Model input'!$C$29</f>
        <v>7.1337655219233506E-2</v>
      </c>
      <c r="O8" s="135"/>
      <c r="P8" s="6"/>
      <c r="Q8" s="4"/>
      <c r="R8" s="80" t="s">
        <v>99</v>
      </c>
      <c r="S8" s="9"/>
      <c r="T8" s="117">
        <f t="shared" si="1"/>
        <v>0</v>
      </c>
      <c r="U8" s="117">
        <f t="shared" si="1"/>
        <v>0</v>
      </c>
      <c r="V8" s="117">
        <f t="shared" si="1"/>
        <v>0</v>
      </c>
      <c r="W8" s="117">
        <f t="shared" si="1"/>
        <v>8.2200000000000006</v>
      </c>
      <c r="X8" s="117">
        <f t="shared" si="1"/>
        <v>1.6346000000000003</v>
      </c>
      <c r="Y8" s="117">
        <f t="shared" si="1"/>
        <v>1.0551780000000002</v>
      </c>
      <c r="Z8" s="117">
        <f t="shared" si="1"/>
        <v>0.98131554000000021</v>
      </c>
      <c r="AA8" s="117">
        <f t="shared" si="1"/>
        <v>0.9126234522000003</v>
      </c>
      <c r="AB8" s="117">
        <f t="shared" si="1"/>
        <v>0.84873981054600034</v>
      </c>
      <c r="AC8" s="117">
        <f t="shared" si="1"/>
        <v>0.78932802380778022</v>
      </c>
      <c r="AD8" s="117">
        <f t="shared" si="1"/>
        <v>0.73407506214123552</v>
      </c>
      <c r="AE8" s="4"/>
    </row>
    <row r="9" spans="1:31" x14ac:dyDescent="0.3">
      <c r="B9" s="376"/>
      <c r="C9" s="9" t="s">
        <v>98</v>
      </c>
      <c r="D9" s="67" t="s">
        <v>92</v>
      </c>
      <c r="E9" s="69">
        <f>E8*'Model input'!D58</f>
        <v>0</v>
      </c>
      <c r="F9" s="69">
        <f>F8*'Model input'!E58</f>
        <v>5.3636575875853456</v>
      </c>
      <c r="G9" s="69">
        <f>G8*'Model input'!F58</f>
        <v>5.648822382981626</v>
      </c>
      <c r="H9" s="69">
        <f>H8*'Model input'!G58</f>
        <v>4.7892859793548768</v>
      </c>
      <c r="I9" s="69">
        <f>I8*'Model input'!H58</f>
        <v>4.434439999210313</v>
      </c>
      <c r="J9" s="69">
        <f>J8*'Model input'!I58</f>
        <v>4.12402919926559</v>
      </c>
      <c r="K9" s="69">
        <f>K8*'Model input'!J58</f>
        <v>3.8353471553169993</v>
      </c>
      <c r="L9" s="69">
        <f>L8*'Model input'!K58</f>
        <v>3.5668728544448083</v>
      </c>
      <c r="M9" s="69">
        <f>M8*'Model input'!L58</f>
        <v>3.3171917546336713</v>
      </c>
      <c r="N9" s="69">
        <f>N8*'Model input'!M58</f>
        <v>3.0849883318093156</v>
      </c>
      <c r="O9" s="135"/>
      <c r="P9" s="6"/>
      <c r="Q9" s="4"/>
      <c r="R9" s="80" t="s">
        <v>101</v>
      </c>
      <c r="S9" s="9"/>
      <c r="T9" s="117">
        <f t="shared" si="1"/>
        <v>0</v>
      </c>
      <c r="U9" s="117">
        <f t="shared" si="1"/>
        <v>0</v>
      </c>
      <c r="V9" s="117">
        <f t="shared" si="1"/>
        <v>0</v>
      </c>
      <c r="W9" s="117">
        <f t="shared" si="1"/>
        <v>0</v>
      </c>
      <c r="X9" s="117">
        <f t="shared" si="1"/>
        <v>8.2200000000000006</v>
      </c>
      <c r="Y9" s="117">
        <f t="shared" si="1"/>
        <v>1.6346000000000003</v>
      </c>
      <c r="Z9" s="117">
        <f t="shared" si="1"/>
        <v>1.0551780000000002</v>
      </c>
      <c r="AA9" s="117">
        <f t="shared" si="1"/>
        <v>0.98131554000000021</v>
      </c>
      <c r="AB9" s="117">
        <f t="shared" si="1"/>
        <v>0.9126234522000003</v>
      </c>
      <c r="AC9" s="117">
        <f t="shared" si="1"/>
        <v>0.84873981054600034</v>
      </c>
      <c r="AD9" s="117">
        <f t="shared" si="1"/>
        <v>0.78932802380778022</v>
      </c>
      <c r="AE9" s="4"/>
    </row>
    <row r="10" spans="1:31" x14ac:dyDescent="0.3">
      <c r="B10" s="376"/>
      <c r="C10" s="87" t="s">
        <v>100</v>
      </c>
      <c r="D10" s="88" t="s">
        <v>92</v>
      </c>
      <c r="E10" s="89">
        <f t="shared" ref="E10:N10" si="2">E7-E9</f>
        <v>0</v>
      </c>
      <c r="F10" s="89">
        <f t="shared" si="2"/>
        <v>79.560920882515944</v>
      </c>
      <c r="G10" s="89">
        <f t="shared" si="2"/>
        <v>121.72658429209424</v>
      </c>
      <c r="H10" s="89">
        <f t="shared" si="2"/>
        <v>123.95496077749667</v>
      </c>
      <c r="I10" s="89">
        <f t="shared" si="2"/>
        <v>51.719421096540408</v>
      </c>
      <c r="J10" s="89">
        <f t="shared" si="2"/>
        <v>75.497191288632052</v>
      </c>
      <c r="K10" s="89">
        <f t="shared" si="2"/>
        <v>70.212387898427821</v>
      </c>
      <c r="L10" s="89">
        <f t="shared" si="2"/>
        <v>65.297520745537852</v>
      </c>
      <c r="M10" s="89">
        <f t="shared" si="2"/>
        <v>60.726694293350207</v>
      </c>
      <c r="N10" s="89">
        <f t="shared" si="2"/>
        <v>56.475825692815704</v>
      </c>
      <c r="O10" s="135"/>
      <c r="P10" s="6"/>
      <c r="Q10" s="4"/>
      <c r="R10" s="80" t="s">
        <v>103</v>
      </c>
      <c r="S10" s="9"/>
      <c r="T10" s="117">
        <f t="shared" si="1"/>
        <v>0</v>
      </c>
      <c r="U10" s="117">
        <f t="shared" si="1"/>
        <v>0</v>
      </c>
      <c r="V10" s="117">
        <f t="shared" si="1"/>
        <v>0</v>
      </c>
      <c r="W10" s="117">
        <f t="shared" si="1"/>
        <v>0</v>
      </c>
      <c r="X10" s="117">
        <f t="shared" si="1"/>
        <v>0</v>
      </c>
      <c r="Y10" s="117">
        <f t="shared" si="1"/>
        <v>8.2200000000000006</v>
      </c>
      <c r="Z10" s="117">
        <f t="shared" si="1"/>
        <v>1.6346000000000003</v>
      </c>
      <c r="AA10" s="117">
        <f t="shared" si="1"/>
        <v>1.0551780000000002</v>
      </c>
      <c r="AB10" s="117">
        <f t="shared" si="1"/>
        <v>0.98131554000000021</v>
      </c>
      <c r="AC10" s="117">
        <f t="shared" si="1"/>
        <v>0.9126234522000003</v>
      </c>
      <c r="AD10" s="117">
        <f t="shared" si="1"/>
        <v>0.84873981054600034</v>
      </c>
      <c r="AE10" s="4"/>
    </row>
    <row r="11" spans="1:31" x14ac:dyDescent="0.3">
      <c r="B11" s="376"/>
      <c r="C11" s="87" t="s">
        <v>102</v>
      </c>
      <c r="D11" s="88"/>
      <c r="E11" s="90">
        <v>0</v>
      </c>
      <c r="F11" s="90">
        <f>F10/(1+'Model input'!$C$13)^(F4-2018)</f>
        <v>65.752827175633001</v>
      </c>
      <c r="G11" s="90">
        <f>G10/(1+'Model input'!$C$13)^(G4-2018)</f>
        <v>91.454984441843877</v>
      </c>
      <c r="H11" s="90">
        <f>H10/(1+'Model input'!$C$13)^(H4-2018)</f>
        <v>84.662906070279789</v>
      </c>
      <c r="I11" s="90">
        <f>I10/(1+'Model input'!$C$13)^(I4-2018)</f>
        <v>32.11369137511744</v>
      </c>
      <c r="J11" s="90">
        <f>J10/(1+'Model input'!$C$13)^(J4-2018)</f>
        <v>42.616196274715925</v>
      </c>
      <c r="K11" s="90">
        <f>K10/(1+'Model input'!$C$13)^(K4-2018)</f>
        <v>36.030056850441646</v>
      </c>
      <c r="L11" s="90">
        <f>L10/(1+'Model input'!$C$13)^(L4-2018)</f>
        <v>30.461775337191565</v>
      </c>
      <c r="M11" s="90">
        <f>M10/(1+'Model input'!$C$13)^(M4-2018)</f>
        <v>25.754046421443778</v>
      </c>
      <c r="N11" s="90">
        <f>N10/(1+'Model input'!$C$13)^(N4-2018)</f>
        <v>21.773875610857015</v>
      </c>
      <c r="O11" s="136"/>
      <c r="P11" s="6"/>
      <c r="Q11" s="4"/>
      <c r="R11" s="80" t="s">
        <v>105</v>
      </c>
      <c r="S11" s="9"/>
      <c r="T11" s="117">
        <f t="shared" si="1"/>
        <v>0</v>
      </c>
      <c r="U11" s="117">
        <f t="shared" si="1"/>
        <v>0</v>
      </c>
      <c r="V11" s="117">
        <f t="shared" si="1"/>
        <v>0</v>
      </c>
      <c r="W11" s="117">
        <f t="shared" si="1"/>
        <v>0</v>
      </c>
      <c r="X11" s="117">
        <f t="shared" si="1"/>
        <v>0</v>
      </c>
      <c r="Y11" s="117">
        <f t="shared" si="1"/>
        <v>0</v>
      </c>
      <c r="Z11" s="117">
        <f t="shared" si="1"/>
        <v>8.2200000000000006</v>
      </c>
      <c r="AA11" s="117">
        <f t="shared" si="1"/>
        <v>1.6346000000000003</v>
      </c>
      <c r="AB11" s="117">
        <f t="shared" si="1"/>
        <v>1.0551780000000002</v>
      </c>
      <c r="AC11" s="117">
        <f t="shared" si="1"/>
        <v>0.98131554000000021</v>
      </c>
      <c r="AD11" s="117">
        <f t="shared" si="1"/>
        <v>0.9126234522000003</v>
      </c>
      <c r="AE11" s="4"/>
    </row>
    <row r="12" spans="1:31" x14ac:dyDescent="0.3">
      <c r="B12" s="376"/>
      <c r="C12" s="87" t="s">
        <v>104</v>
      </c>
      <c r="D12" s="91"/>
      <c r="E12" s="90">
        <v>0</v>
      </c>
      <c r="F12" s="90">
        <f>F11/('Model input'!$D$79/'Model input'!$G$79)</f>
        <v>105.57379602292642</v>
      </c>
      <c r="G12" s="90">
        <f>G11/('Model input'!$D$79/'Model input'!$G$79)</f>
        <v>146.84159278737786</v>
      </c>
      <c r="H12" s="90">
        <f>H11/('Model input'!$D$79/'Model input'!$G$79)</f>
        <v>135.93612259891165</v>
      </c>
      <c r="I12" s="90">
        <f>I11/('Model input'!$D$79/'Model input'!$G$79)</f>
        <v>51.562258969090799</v>
      </c>
      <c r="J12" s="90">
        <f>J11/('Model input'!$D$79/'Model input'!$G$79)</f>
        <v>68.425249621010579</v>
      </c>
      <c r="K12" s="90">
        <f>K11/('Model input'!$D$79/'Model input'!$G$79)</f>
        <v>57.850438315945304</v>
      </c>
      <c r="L12" s="90">
        <f>L11/('Model input'!$D$79/'Model input'!$G$79)</f>
        <v>48.909916030753742</v>
      </c>
      <c r="M12" s="90">
        <f>M11/('Model input'!$D$79/'Model input'!$G$79)</f>
        <v>41.351110826000891</v>
      </c>
      <c r="N12" s="90">
        <f>N11/('Model input'!$D$79/'Model input'!$G$79)</f>
        <v>34.960484607437124</v>
      </c>
      <c r="O12" s="136"/>
      <c r="P12" s="6"/>
      <c r="Q12" s="4"/>
      <c r="R12" s="80" t="s">
        <v>107</v>
      </c>
      <c r="S12" s="9"/>
      <c r="T12" s="117">
        <f t="shared" si="1"/>
        <v>0</v>
      </c>
      <c r="U12" s="117">
        <f t="shared" si="1"/>
        <v>0</v>
      </c>
      <c r="V12" s="117">
        <f t="shared" si="1"/>
        <v>0</v>
      </c>
      <c r="W12" s="117">
        <f t="shared" si="1"/>
        <v>0</v>
      </c>
      <c r="X12" s="117">
        <f t="shared" si="1"/>
        <v>0</v>
      </c>
      <c r="Y12" s="117">
        <f t="shared" si="1"/>
        <v>0</v>
      </c>
      <c r="Z12" s="117">
        <f t="shared" si="1"/>
        <v>0</v>
      </c>
      <c r="AA12" s="117">
        <f t="shared" si="1"/>
        <v>8.2200000000000006</v>
      </c>
      <c r="AB12" s="117">
        <f t="shared" si="1"/>
        <v>1.6346000000000003</v>
      </c>
      <c r="AC12" s="117">
        <f t="shared" si="1"/>
        <v>1.0551780000000002</v>
      </c>
      <c r="AD12" s="117">
        <f t="shared" si="1"/>
        <v>0.98131554000000021</v>
      </c>
      <c r="AE12" s="4"/>
    </row>
    <row r="13" spans="1:31" ht="15" thickBot="1" x14ac:dyDescent="0.35">
      <c r="B13" s="377"/>
      <c r="C13" s="92" t="s">
        <v>106</v>
      </c>
      <c r="D13" s="91"/>
      <c r="E13" s="90">
        <f>E12*'Model input'!$E$84</f>
        <v>0</v>
      </c>
      <c r="F13" s="90">
        <f>F12*'Model input'!$E$84</f>
        <v>1.8369840507989195</v>
      </c>
      <c r="G13" s="90">
        <f>G12*'Model input'!$E$84</f>
        <v>2.5550437145003748</v>
      </c>
      <c r="H13" s="90">
        <f>H12*'Model input'!$E$84</f>
        <v>2.3652885332210625</v>
      </c>
      <c r="I13" s="90">
        <f>I12*'Model input'!$E$84</f>
        <v>0.89718330606217989</v>
      </c>
      <c r="J13" s="90">
        <f>J12*'Model input'!$E$84</f>
        <v>1.1905993434055839</v>
      </c>
      <c r="K13" s="90">
        <f>K12*'Model input'!$E$84</f>
        <v>1.0065976266974481</v>
      </c>
      <c r="L13" s="90">
        <f>L12*'Model input'!$E$84</f>
        <v>0.8510325389351151</v>
      </c>
      <c r="M13" s="90">
        <f>M12*'Model input'!$E$84</f>
        <v>0.71950932837241544</v>
      </c>
      <c r="N13" s="90">
        <f>N12*'Model input'!$E$84</f>
        <v>0.60831243216940589</v>
      </c>
      <c r="O13" s="136"/>
      <c r="P13" s="6"/>
      <c r="Q13" s="4"/>
      <c r="R13" s="80" t="s">
        <v>110</v>
      </c>
      <c r="S13" s="9"/>
      <c r="T13" s="117">
        <f t="shared" si="1"/>
        <v>0</v>
      </c>
      <c r="U13" s="117">
        <f t="shared" si="1"/>
        <v>0</v>
      </c>
      <c r="V13" s="117">
        <f t="shared" si="1"/>
        <v>0</v>
      </c>
      <c r="W13" s="117">
        <f t="shared" si="1"/>
        <v>0</v>
      </c>
      <c r="X13" s="117">
        <f t="shared" si="1"/>
        <v>0</v>
      </c>
      <c r="Y13" s="117">
        <f t="shared" si="1"/>
        <v>0</v>
      </c>
      <c r="Z13" s="117">
        <f t="shared" si="1"/>
        <v>0</v>
      </c>
      <c r="AA13" s="117">
        <f t="shared" si="1"/>
        <v>0</v>
      </c>
      <c r="AB13" s="117">
        <f t="shared" si="1"/>
        <v>8.2200000000000006</v>
      </c>
      <c r="AC13" s="117">
        <f t="shared" si="1"/>
        <v>1.6346000000000003</v>
      </c>
      <c r="AD13" s="117">
        <f t="shared" si="1"/>
        <v>1.0551780000000002</v>
      </c>
      <c r="AE13" s="4"/>
    </row>
    <row r="14" spans="1:31" x14ac:dyDescent="0.3">
      <c r="B14" s="375" t="s">
        <v>108</v>
      </c>
      <c r="C14" s="85" t="s">
        <v>109</v>
      </c>
      <c r="D14" s="66" t="s">
        <v>92</v>
      </c>
      <c r="E14" s="329">
        <v>7</v>
      </c>
      <c r="F14" s="329">
        <v>0.5</v>
      </c>
      <c r="G14" s="329">
        <v>0</v>
      </c>
      <c r="H14" s="83">
        <f>G14+G14*'Sensitivity analysis'!$C$9</f>
        <v>0</v>
      </c>
      <c r="I14" s="83">
        <f>H14+H14*'Sensitivity analysis'!$C$9</f>
        <v>0</v>
      </c>
      <c r="J14" s="83">
        <f>I14+I14*'Sensitivity analysis'!$C$9</f>
        <v>0</v>
      </c>
      <c r="K14" s="83">
        <f>J14+J14*'Sensitivity analysis'!$C$9</f>
        <v>0</v>
      </c>
      <c r="L14" s="83">
        <f>K14+K14*'Sensitivity analysis'!$C$9</f>
        <v>0</v>
      </c>
      <c r="M14" s="83">
        <f>L14+L14*'Sensitivity analysis'!$C$9</f>
        <v>0</v>
      </c>
      <c r="N14" s="83">
        <f>M14+M14*'Sensitivity analysis'!$C$9</f>
        <v>0</v>
      </c>
      <c r="O14" s="137"/>
      <c r="P14" s="6"/>
      <c r="Q14" s="4"/>
      <c r="R14" s="80" t="s">
        <v>112</v>
      </c>
      <c r="S14" s="9"/>
      <c r="T14" s="118">
        <f t="shared" si="1"/>
        <v>0</v>
      </c>
      <c r="U14" s="117">
        <f t="shared" si="1"/>
        <v>0</v>
      </c>
      <c r="V14" s="117">
        <f t="shared" si="1"/>
        <v>0</v>
      </c>
      <c r="W14" s="117">
        <f t="shared" si="1"/>
        <v>0</v>
      </c>
      <c r="X14" s="117">
        <f t="shared" si="1"/>
        <v>0</v>
      </c>
      <c r="Y14" s="117">
        <f t="shared" si="1"/>
        <v>0</v>
      </c>
      <c r="Z14" s="117">
        <f t="shared" si="1"/>
        <v>0</v>
      </c>
      <c r="AA14" s="117">
        <f t="shared" si="1"/>
        <v>0</v>
      </c>
      <c r="AB14" s="117">
        <f t="shared" si="1"/>
        <v>0</v>
      </c>
      <c r="AC14" s="117">
        <f t="shared" si="1"/>
        <v>8.2200000000000006</v>
      </c>
      <c r="AD14" s="117">
        <f t="shared" si="1"/>
        <v>1.6346000000000003</v>
      </c>
      <c r="AE14" s="4"/>
    </row>
    <row r="15" spans="1:31" x14ac:dyDescent="0.3">
      <c r="B15" s="376"/>
      <c r="C15" s="9" t="s">
        <v>111</v>
      </c>
      <c r="D15" s="67" t="s">
        <v>92</v>
      </c>
      <c r="E15" s="330">
        <v>1.82</v>
      </c>
      <c r="F15" s="84">
        <f>E15+E15*'Sensitivity analysis'!$C$9</f>
        <v>1.6926000000000001</v>
      </c>
      <c r="G15" s="84">
        <f>F15+F15*'Sensitivity analysis'!$C$9</f>
        <v>1.5741180000000001</v>
      </c>
      <c r="H15" s="84">
        <f>G15+G15*'Sensitivity analysis'!$C$9</f>
        <v>1.4639297400000002</v>
      </c>
      <c r="I15" s="84">
        <f>H15+H15*'Sensitivity analysis'!$C$9</f>
        <v>1.3614546582000002</v>
      </c>
      <c r="J15" s="84">
        <f>I15+I15*'Sensitivity analysis'!$C$9</f>
        <v>1.2661528321260003</v>
      </c>
      <c r="K15" s="84">
        <f>J15+J15*'Sensitivity analysis'!$C$9</f>
        <v>1.1775221338771802</v>
      </c>
      <c r="L15" s="84">
        <f>K15+K15*'Sensitivity analysis'!$C$9</f>
        <v>1.0950955845057775</v>
      </c>
      <c r="M15" s="84">
        <f>L15+L15*'Sensitivity analysis'!$C$9</f>
        <v>1.018438893590373</v>
      </c>
      <c r="N15" s="84">
        <f>M15+M15*'Sensitivity analysis'!$C$9</f>
        <v>0.94714817103904692</v>
      </c>
      <c r="O15" s="135"/>
      <c r="P15" s="6"/>
      <c r="Q15" s="4"/>
      <c r="R15" s="122" t="s">
        <v>114</v>
      </c>
      <c r="S15" s="123"/>
      <c r="T15" s="119">
        <f>T5*'Model input'!$C$44+T6*'Model input'!$D$44+SROI!T7*'Model input'!$E$44+SROI!T8*'Model input'!$F$44+SROI!T9*'Model input'!$G$44+SROI!T10*'Model input'!$H$44+SROI!T11*'Model input'!$I$44+SROI!T12*'Model input'!$J$44+SROI!T13*'Model input'!$K$44+T14</f>
        <v>-9.0420000000000016</v>
      </c>
      <c r="U15" s="119">
        <f>U5*'Model input'!$C$44+U6*'Model input'!$D$44+SROI!U7*'Model input'!$E$44+SROI!U8*'Model input'!$F$44+SROI!U9*'Model input'!$G$44+SROI!U10*'Model input'!$H$44+SROI!U11*'Model input'!$I$44+SROI!U12*'Model input'!$J$44+SROI!U13*'Model input'!$K$44+U14</f>
        <v>-5.0860600000000016</v>
      </c>
      <c r="V15" s="119">
        <f>V5*'Model input'!$C$44+V6*'Model input'!$D$44+SROI!V7*'Model input'!$E$44+SROI!V8*'Model input'!$F$44+SROI!V9*'Model input'!$G$44+SROI!V10*'Model input'!$H$44+SROI!V11*'Model input'!$I$44+SROI!V12*'Model input'!$J$44+SROI!V13*'Model input'!$K$44+V14</f>
        <v>12.159464200000002</v>
      </c>
      <c r="W15" s="119">
        <f>W5*'Model input'!$C$44+W6*'Model input'!$D$44+SROI!W7*'Model input'!$E$44+SROI!W8*'Model input'!$F$44+SROI!W9*'Model input'!$G$44+SROI!W10*'Model input'!$H$44+SROI!W11*'Model input'!$I$44+SROI!W12*'Model input'!$J$44+SROI!W13*'Model input'!$K$44+W14</f>
        <v>17.717301705999997</v>
      </c>
      <c r="X15" s="119">
        <f>X5*'Model input'!$C$44+X6*'Model input'!$D$44+SROI!X7*'Model input'!$E$44+SROI!X8*'Model input'!$F$44+SROI!X9*'Model input'!$G$44+SROI!X10*'Model input'!$H$44+SROI!X11*'Model input'!$I$44+SROI!X12*'Model input'!$J$44+SROI!X13*'Model input'!$K$44+X14</f>
        <v>18.462590586579999</v>
      </c>
      <c r="Y15" s="119">
        <f>Y5*'Model input'!$C$44+Y6*'Model input'!$D$44+SROI!Y7*'Model input'!$E$44+SROI!Y8*'Model input'!$F$44+SROI!Y9*'Model input'!$G$44+SROI!Y10*'Model input'!$H$44+SROI!Y11*'Model input'!$I$44+SROI!Y12*'Model input'!$J$44+SROI!Y13*'Model input'!$K$44+Y14</f>
        <v>16.108209245519401</v>
      </c>
      <c r="Z15" s="119">
        <f>Z5*'Model input'!$C$44+Z6*'Model input'!$D$44+SROI!Z7*'Model input'!$E$44+SROI!Z8*'Model input'!$F$44+SROI!Z9*'Model input'!$G$44+SROI!Z10*'Model input'!$H$44+SROI!Z11*'Model input'!$I$44+SROI!Z12*'Model input'!$J$44+SROI!Z13*'Model input'!$K$44+Z14</f>
        <v>13.728634598333043</v>
      </c>
      <c r="AA15" s="119">
        <f>AA5*'Model input'!$C$44+AA6*'Model input'!$D$44+SROI!AA7*'Model input'!$E$44+SROI!AA8*'Model input'!$F$44+SROI!AA9*'Model input'!$G$44+SROI!AA10*'Model input'!$H$44+SROI!AA11*'Model input'!$I$44+SROI!AA12*'Model input'!$J$44+SROI!AA13*'Model input'!$K$44+AA14</f>
        <v>13.33013017644973</v>
      </c>
      <c r="AB15" s="119">
        <f>AB5*'Model input'!$C$44+AB6*'Model input'!$D$44+SROI!AB7*'Model input'!$E$44+SROI!AB8*'Model input'!$F$44+SROI!AB9*'Model input'!$G$44+SROI!AB10*'Model input'!$H$44+SROI!AB11*'Model input'!$I$44+SROI!AB12*'Model input'!$J$44+SROI!AB13*'Model input'!$K$44+AB14</f>
        <v>16.212521064098251</v>
      </c>
      <c r="AC15" s="119">
        <f>AC5*'Model input'!$C$44+AC6*'Model input'!$D$44+SROI!AC7*'Model input'!$E$44+SROI!AC8*'Model input'!$F$44+SROI!AC9*'Model input'!$G$44+SROI!AC10*'Model input'!$H$44+SROI!AC11*'Model input'!$I$44+SROI!AC12*'Model input'!$J$44+SROI!AC13*'Model input'!$K$44+AC14</f>
        <v>16.314644589611373</v>
      </c>
      <c r="AD15" s="119">
        <f>AD5*'Model input'!$C$44+AD6*'Model input'!$D$44+SROI!AD7*'Model input'!$E$44+SROI!AD8*'Model input'!$F$44+SROI!AD9*'Model input'!$G$44+SROI!AD10*'Model input'!$H$44+SROI!AD11*'Model input'!$I$44+SROI!AD12*'Model input'!$J$44+SROI!AD13*'Model input'!$K$44+AD14</f>
        <v>9.3006237245731871</v>
      </c>
      <c r="AE15" s="4"/>
    </row>
    <row r="16" spans="1:31" x14ac:dyDescent="0.3">
      <c r="B16" s="376"/>
      <c r="C16" s="9" t="s">
        <v>113</v>
      </c>
      <c r="D16" s="67" t="s">
        <v>92</v>
      </c>
      <c r="E16" s="330">
        <v>0.6</v>
      </c>
      <c r="F16" s="84">
        <f>E16+E16*'Sensitivity analysis'!$C$9</f>
        <v>0.55799999999999994</v>
      </c>
      <c r="G16" s="84">
        <f>F16+F16*'Sensitivity analysis'!$C$9</f>
        <v>0.51893999999999996</v>
      </c>
      <c r="H16" s="84">
        <f>G16+G16*'Sensitivity analysis'!$C$9</f>
        <v>0.48261419999999994</v>
      </c>
      <c r="I16" s="84">
        <f>H16+H16*'Sensitivity analysis'!$C$9</f>
        <v>0.44883120599999993</v>
      </c>
      <c r="J16" s="84">
        <f>I16+I16*'Sensitivity analysis'!$C$9</f>
        <v>0.41741302157999993</v>
      </c>
      <c r="K16" s="84">
        <f>J16+J16*'Sensitivity analysis'!$C$9</f>
        <v>0.38819411006939991</v>
      </c>
      <c r="L16" s="84">
        <f>K16+K16*'Sensitivity analysis'!$C$9</f>
        <v>0.36102052236454191</v>
      </c>
      <c r="M16" s="84">
        <f>L16+L16*'Sensitivity analysis'!$C$9</f>
        <v>0.33574908579902396</v>
      </c>
      <c r="N16" s="84">
        <f>M16+M16*'Sensitivity analysis'!$C$9</f>
        <v>0.3122466497930923</v>
      </c>
      <c r="O16" s="135"/>
      <c r="P16" s="6"/>
      <c r="Q16" s="4"/>
      <c r="AE16" s="4"/>
    </row>
    <row r="17" spans="2:31" x14ac:dyDescent="0.3">
      <c r="B17" s="376"/>
      <c r="C17" s="9" t="s">
        <v>115</v>
      </c>
      <c r="D17" s="67" t="s">
        <v>92</v>
      </c>
      <c r="E17" s="68">
        <f t="shared" ref="E17:N17" si="3">E14+(E15-E16)</f>
        <v>8.2200000000000006</v>
      </c>
      <c r="F17" s="68">
        <f t="shared" si="3"/>
        <v>1.6346000000000003</v>
      </c>
      <c r="G17" s="68">
        <f t="shared" si="3"/>
        <v>1.0551780000000002</v>
      </c>
      <c r="H17" s="68">
        <f t="shared" si="3"/>
        <v>0.98131554000000021</v>
      </c>
      <c r="I17" s="68">
        <f t="shared" si="3"/>
        <v>0.9126234522000003</v>
      </c>
      <c r="J17" s="68">
        <f t="shared" si="3"/>
        <v>0.84873981054600034</v>
      </c>
      <c r="K17" s="68">
        <f t="shared" si="3"/>
        <v>0.78932802380778022</v>
      </c>
      <c r="L17" s="68">
        <f t="shared" si="3"/>
        <v>0.73407506214123552</v>
      </c>
      <c r="M17" s="68">
        <f t="shared" si="3"/>
        <v>0.68268980779134902</v>
      </c>
      <c r="N17" s="68">
        <f t="shared" si="3"/>
        <v>0.63490152124595456</v>
      </c>
      <c r="O17" s="135"/>
      <c r="P17" s="6"/>
      <c r="Q17" s="4"/>
      <c r="R17" s="4"/>
      <c r="S17" s="4"/>
      <c r="T17" s="4"/>
      <c r="U17" s="4"/>
      <c r="V17" s="4"/>
      <c r="W17" s="4"/>
      <c r="X17" s="4"/>
      <c r="Y17" s="4"/>
      <c r="Z17" s="4"/>
      <c r="AA17" s="4"/>
      <c r="AB17" s="4"/>
      <c r="AC17" s="4"/>
      <c r="AD17" s="4"/>
      <c r="AE17" s="4"/>
    </row>
    <row r="18" spans="2:31" x14ac:dyDescent="0.3">
      <c r="B18" s="376"/>
      <c r="C18" s="9" t="s">
        <v>93</v>
      </c>
      <c r="D18" s="67" t="s">
        <v>92</v>
      </c>
      <c r="E18" s="68">
        <f t="shared" ref="E18:N18" si="4">T15</f>
        <v>-9.0420000000000016</v>
      </c>
      <c r="F18" s="68">
        <f t="shared" si="4"/>
        <v>-5.0860600000000016</v>
      </c>
      <c r="G18" s="68">
        <f t="shared" si="4"/>
        <v>12.159464200000002</v>
      </c>
      <c r="H18" s="68">
        <f t="shared" si="4"/>
        <v>17.717301705999997</v>
      </c>
      <c r="I18" s="68">
        <f t="shared" si="4"/>
        <v>18.462590586579999</v>
      </c>
      <c r="J18" s="68">
        <f t="shared" si="4"/>
        <v>16.108209245519401</v>
      </c>
      <c r="K18" s="68">
        <f t="shared" si="4"/>
        <v>13.728634598333043</v>
      </c>
      <c r="L18" s="68">
        <f t="shared" si="4"/>
        <v>13.33013017644973</v>
      </c>
      <c r="M18" s="68">
        <f t="shared" si="4"/>
        <v>16.212521064098251</v>
      </c>
      <c r="N18" s="68">
        <f t="shared" si="4"/>
        <v>16.314644589611373</v>
      </c>
      <c r="O18" s="135"/>
      <c r="P18" s="6"/>
      <c r="Q18" s="4"/>
      <c r="R18" s="4"/>
      <c r="S18" s="4"/>
      <c r="T18" s="4"/>
      <c r="U18" s="4"/>
      <c r="V18" s="4"/>
      <c r="W18" s="4"/>
      <c r="X18" s="4"/>
      <c r="Y18" s="4"/>
      <c r="Z18" s="4"/>
      <c r="AA18" s="4"/>
      <c r="AB18" s="4"/>
      <c r="AC18" s="4"/>
      <c r="AD18" s="4"/>
      <c r="AE18" s="4"/>
    </row>
    <row r="19" spans="2:31" x14ac:dyDescent="0.3">
      <c r="B19" s="376"/>
      <c r="C19" s="9" t="s">
        <v>116</v>
      </c>
      <c r="D19" s="67" t="s">
        <v>92</v>
      </c>
      <c r="E19" s="68">
        <f>E18*'Model input'!D51</f>
        <v>-120.92173127065355</v>
      </c>
      <c r="F19" s="68">
        <f>F18*'Model input'!E51</f>
        <v>-72.862938861950653</v>
      </c>
      <c r="G19" s="68">
        <f>G18*'Model input'!F51</f>
        <v>261.27137271019336</v>
      </c>
      <c r="H19" s="68">
        <f>H18*'Model input'!G51</f>
        <v>413.74643802744953</v>
      </c>
      <c r="I19" s="68">
        <f>I18*'Model input'!H51</f>
        <v>202.20792401376895</v>
      </c>
      <c r="J19" s="68">
        <f>J18*'Model input'!I51</f>
        <v>268.97941968898789</v>
      </c>
      <c r="K19" s="68">
        <f>K18*'Model input'!J51</f>
        <v>229.24461130953688</v>
      </c>
      <c r="L19" s="68">
        <f>L18*'Model input'!K51</f>
        <v>222.59027211466426</v>
      </c>
      <c r="M19" s="68">
        <f>M18*'Model input'!L51</f>
        <v>270.72124784631995</v>
      </c>
      <c r="N19" s="68">
        <f>N18*'Model input'!M51</f>
        <v>272.42653526905156</v>
      </c>
      <c r="O19" s="135"/>
      <c r="P19" s="6"/>
      <c r="Q19" s="4"/>
      <c r="R19" s="4"/>
      <c r="S19" s="4"/>
      <c r="T19" s="4"/>
      <c r="U19" s="4"/>
      <c r="V19" s="4"/>
      <c r="W19" s="4"/>
      <c r="X19" s="4"/>
      <c r="Y19" s="4"/>
      <c r="Z19" s="4"/>
      <c r="AA19" s="4"/>
      <c r="AB19" s="4"/>
      <c r="AC19" s="4"/>
      <c r="AD19" s="4"/>
      <c r="AE19" s="4"/>
    </row>
    <row r="20" spans="2:31" x14ac:dyDescent="0.3">
      <c r="B20" s="376"/>
      <c r="C20" s="9" t="s">
        <v>117</v>
      </c>
      <c r="D20" s="67" t="s">
        <v>92</v>
      </c>
      <c r="E20" s="68">
        <f>E18/'Model input'!$C$29</f>
        <v>-0.18084000000000003</v>
      </c>
      <c r="F20" s="68">
        <f>F18/'Model input'!$C$29</f>
        <v>-0.10172120000000003</v>
      </c>
      <c r="G20" s="68">
        <f>G18/'Model input'!$C$29</f>
        <v>0.24318928400000003</v>
      </c>
      <c r="H20" s="68">
        <f>H18/'Model input'!$C$29</f>
        <v>0.35434603411999993</v>
      </c>
      <c r="I20" s="68">
        <f>I18/'Model input'!$C$29</f>
        <v>0.36925181173159999</v>
      </c>
      <c r="J20" s="68">
        <f>J18/'Model input'!$C$29</f>
        <v>0.32216418491038801</v>
      </c>
      <c r="K20" s="68">
        <f>K18/'Model input'!$C$29</f>
        <v>0.27457269196666084</v>
      </c>
      <c r="L20" s="68">
        <f>L18/'Model input'!$C$29</f>
        <v>0.26660260352899462</v>
      </c>
      <c r="M20" s="68">
        <f>M18/'Model input'!$C$29</f>
        <v>0.32425042128196502</v>
      </c>
      <c r="N20" s="68">
        <f>N18/'Model input'!$C$29</f>
        <v>0.32629289179222742</v>
      </c>
      <c r="O20" s="135"/>
      <c r="P20" s="6"/>
      <c r="Q20" s="4"/>
      <c r="R20" s="4"/>
      <c r="S20" s="4"/>
      <c r="T20" s="4"/>
      <c r="U20" s="4"/>
      <c r="V20" s="4"/>
      <c r="W20" s="4"/>
      <c r="X20" s="4"/>
      <c r="Y20" s="4"/>
      <c r="Z20" s="4"/>
      <c r="AA20" s="4"/>
      <c r="AB20" s="4"/>
      <c r="AC20" s="4"/>
      <c r="AD20" s="4"/>
      <c r="AE20" s="4"/>
    </row>
    <row r="21" spans="2:31" x14ac:dyDescent="0.3">
      <c r="B21" s="376"/>
      <c r="C21" s="9" t="s">
        <v>118</v>
      </c>
      <c r="D21" s="67" t="s">
        <v>119</v>
      </c>
      <c r="E21" s="68">
        <f>E20*'Model input'!D58</f>
        <v>-7.5777618262942887</v>
      </c>
      <c r="F21" s="68">
        <f>F20*'Model input'!E58</f>
        <v>-4.6018698228600412</v>
      </c>
      <c r="G21" s="68">
        <f>G20*'Model input'!F58</f>
        <v>11.586817398452052</v>
      </c>
      <c r="H21" s="68">
        <f>H20*'Model input'!G58</f>
        <v>15.39136749462112</v>
      </c>
      <c r="I21" s="68">
        <f>I20*'Model input'!H58</f>
        <v>15.968250248633217</v>
      </c>
      <c r="J21" s="68">
        <f>J20*'Model input'!I58</f>
        <v>13.931951482299988</v>
      </c>
      <c r="K21" s="68">
        <f>K20*'Model input'!J58</f>
        <v>11.873863086016403</v>
      </c>
      <c r="L21" s="68">
        <f>L20*'Model input'!K58</f>
        <v>11.529197568792345</v>
      </c>
      <c r="M21" s="68">
        <f>M20*'Model input'!L58</f>
        <v>14.022170523617399</v>
      </c>
      <c r="N21" s="68">
        <f>N20*'Model input'!M58</f>
        <v>14.110496915518844</v>
      </c>
      <c r="O21" s="135"/>
      <c r="P21" s="6"/>
      <c r="Q21" s="4"/>
      <c r="R21" s="4"/>
      <c r="S21" s="4"/>
      <c r="T21" s="4"/>
      <c r="U21" s="4"/>
      <c r="V21" s="4"/>
      <c r="W21" s="4"/>
      <c r="X21" s="4"/>
      <c r="Y21" s="4"/>
      <c r="Z21" s="4"/>
      <c r="AA21" s="4"/>
      <c r="AB21" s="4"/>
      <c r="AC21" s="4"/>
      <c r="AD21" s="4"/>
      <c r="AE21" s="4"/>
    </row>
    <row r="22" spans="2:31" x14ac:dyDescent="0.3">
      <c r="B22" s="376"/>
      <c r="C22" s="9" t="s">
        <v>120</v>
      </c>
      <c r="D22" s="67" t="s">
        <v>92</v>
      </c>
      <c r="E22" s="68">
        <f>E17*'Model input'!$C$34</f>
        <v>8.2200000000000009E-2</v>
      </c>
      <c r="F22" s="68">
        <f>F17*'Model input'!$C$34</f>
        <v>1.6346000000000003E-2</v>
      </c>
      <c r="G22" s="68">
        <f>G17*'Model input'!$C$34</f>
        <v>1.0551780000000002E-2</v>
      </c>
      <c r="H22" s="68">
        <f>H17*'Model input'!$C$34</f>
        <v>9.8131554000000024E-3</v>
      </c>
      <c r="I22" s="68">
        <f>I17*'Model input'!$C$34</f>
        <v>9.1262345220000027E-3</v>
      </c>
      <c r="J22" s="68">
        <f>J17*'Model input'!$C$34</f>
        <v>8.4873981054600037E-3</v>
      </c>
      <c r="K22" s="68">
        <f>K17*'Model input'!$C$34</f>
        <v>7.893280238077803E-3</v>
      </c>
      <c r="L22" s="68">
        <f>L17*'Model input'!$C$34</f>
        <v>7.3407506214123557E-3</v>
      </c>
      <c r="M22" s="68">
        <f>M17*'Model input'!$C$34</f>
        <v>6.8268980779134904E-3</v>
      </c>
      <c r="N22" s="68">
        <f>N17*'Model input'!$C$34</f>
        <v>6.349015212459546E-3</v>
      </c>
      <c r="O22" s="135"/>
      <c r="P22" s="6"/>
      <c r="Q22" s="4"/>
      <c r="R22" s="4"/>
      <c r="S22" s="4"/>
      <c r="T22" s="4"/>
      <c r="U22" s="4"/>
      <c r="V22" s="4"/>
      <c r="W22" s="4"/>
      <c r="X22" s="4"/>
      <c r="Y22" s="4"/>
      <c r="Z22" s="4"/>
      <c r="AA22" s="4"/>
      <c r="AB22" s="4"/>
      <c r="AC22" s="4"/>
      <c r="AD22" s="4"/>
      <c r="AE22" s="4"/>
    </row>
    <row r="23" spans="2:31" x14ac:dyDescent="0.3">
      <c r="B23" s="376"/>
      <c r="C23" s="9" t="s">
        <v>121</v>
      </c>
      <c r="D23" s="67" t="s">
        <v>92</v>
      </c>
      <c r="E23" s="69">
        <f>E22*'Model input'!D58</f>
        <v>3.4444371937701312</v>
      </c>
      <c r="F23" s="69">
        <f>F22*'Model input'!E58</f>
        <v>0.73949347947596211</v>
      </c>
      <c r="G23" s="69">
        <f>G22*'Model input'!F58</f>
        <v>0.50274233336958385</v>
      </c>
      <c r="H23" s="69">
        <f>H22*'Model input'!G58</f>
        <v>0.42624402843486175</v>
      </c>
      <c r="I23" s="69">
        <f>I22*'Model input'!H58</f>
        <v>0.39466291577992069</v>
      </c>
      <c r="J23" s="69">
        <f>J22*'Model input'!I58</f>
        <v>0.3670365116753263</v>
      </c>
      <c r="K23" s="69">
        <f>K22*'Model input'!J58</f>
        <v>0.34134395585805344</v>
      </c>
      <c r="L23" s="69">
        <f>L22*'Model input'!K58</f>
        <v>0.31744987894798965</v>
      </c>
      <c r="M23" s="69">
        <f>M22*'Model input'!L58</f>
        <v>0.29522838742163038</v>
      </c>
      <c r="N23" s="69">
        <f>N22*'Model input'!M58</f>
        <v>0.27456240030211626</v>
      </c>
      <c r="O23" s="135"/>
      <c r="P23" s="6"/>
      <c r="Q23" s="4"/>
      <c r="R23" s="4"/>
      <c r="S23" s="4"/>
      <c r="T23" s="4"/>
      <c r="U23" s="4"/>
      <c r="V23" s="4"/>
      <c r="W23" s="4"/>
      <c r="X23" s="4"/>
      <c r="Y23" s="4"/>
      <c r="Z23" s="4"/>
      <c r="AA23" s="4"/>
      <c r="AB23" s="4"/>
      <c r="AC23" s="4"/>
      <c r="AD23" s="4"/>
      <c r="AE23" s="4"/>
    </row>
    <row r="24" spans="2:31" x14ac:dyDescent="0.3">
      <c r="B24" s="376"/>
      <c r="C24" s="87" t="s">
        <v>100</v>
      </c>
      <c r="D24" s="88" t="s">
        <v>92</v>
      </c>
      <c r="E24" s="89">
        <f t="shared" ref="E24:N24" si="5">E19-E21-E23</f>
        <v>-116.78840663812939</v>
      </c>
      <c r="F24" s="89">
        <f t="shared" si="5"/>
        <v>-69.000562518566582</v>
      </c>
      <c r="G24" s="89">
        <f t="shared" si="5"/>
        <v>249.18181297837174</v>
      </c>
      <c r="H24" s="89">
        <f t="shared" si="5"/>
        <v>397.92882650439356</v>
      </c>
      <c r="I24" s="89">
        <f t="shared" si="5"/>
        <v>185.84501084935582</v>
      </c>
      <c r="J24" s="89">
        <f t="shared" si="5"/>
        <v>254.68043169501257</v>
      </c>
      <c r="K24" s="89">
        <f t="shared" si="5"/>
        <v>217.02940426766241</v>
      </c>
      <c r="L24" s="89">
        <f t="shared" si="5"/>
        <v>210.74362466692392</v>
      </c>
      <c r="M24" s="89">
        <f t="shared" si="5"/>
        <v>256.40384893528096</v>
      </c>
      <c r="N24" s="89">
        <f t="shared" si="5"/>
        <v>258.04147595323059</v>
      </c>
      <c r="O24" s="135"/>
      <c r="P24" s="6"/>
      <c r="Q24" s="4"/>
      <c r="R24" s="4"/>
      <c r="S24" s="4"/>
      <c r="T24" s="4"/>
      <c r="U24" s="4"/>
      <c r="V24" s="4"/>
      <c r="W24" s="4"/>
      <c r="X24" s="4"/>
      <c r="Y24" s="4"/>
      <c r="Z24" s="4"/>
      <c r="AA24" s="4"/>
      <c r="AB24" s="4"/>
      <c r="AC24" s="4"/>
      <c r="AD24" s="4"/>
      <c r="AE24" s="4"/>
    </row>
    <row r="25" spans="2:31" x14ac:dyDescent="0.3">
      <c r="B25" s="376"/>
      <c r="C25" s="87" t="s">
        <v>102</v>
      </c>
      <c r="D25" s="88"/>
      <c r="E25" s="90">
        <f>E24/(1+'Model input'!$C$13)^(E4-2018)</f>
        <v>-106.1712787619358</v>
      </c>
      <c r="F25" s="90">
        <f>F24/(1+'Model input'!$C$13)^(F4-2018)</f>
        <v>-57.025258279807083</v>
      </c>
      <c r="G25" s="90">
        <f>G24/(1+'Model input'!$C$13)^(G4-2018)</f>
        <v>187.21398420613949</v>
      </c>
      <c r="H25" s="90">
        <f>H24/(1+'Model input'!$C$13)^(H4-2018)</f>
        <v>271.79074278013348</v>
      </c>
      <c r="I25" s="90">
        <f>I24/(1+'Model input'!$C$13)^(I4-2018)</f>
        <v>115.39513002052502</v>
      </c>
      <c r="J25" s="90">
        <f>J24/(1+'Model input'!$C$13)^(J4-2018)</f>
        <v>143.7604641866763</v>
      </c>
      <c r="K25" s="90">
        <f>K24/(1+'Model input'!$C$13)^(K4-2018)</f>
        <v>111.37040069472489</v>
      </c>
      <c r="L25" s="90">
        <f>L24/(1+'Model input'!$C$13)^(L4-2018)</f>
        <v>98.313456239269982</v>
      </c>
      <c r="M25" s="90">
        <f>M24/(1+'Model input'!$C$13)^(M4-2018)</f>
        <v>108.74026167499099</v>
      </c>
      <c r="N25" s="90">
        <f>N24/(1+'Model input'!$C$13)^(N4-2018)</f>
        <v>99.486159448259869</v>
      </c>
      <c r="O25" s="135"/>
      <c r="P25" s="6"/>
      <c r="Q25" s="4"/>
      <c r="R25" s="4"/>
      <c r="S25" s="4"/>
      <c r="T25" s="4"/>
      <c r="U25" s="4"/>
      <c r="V25" s="4"/>
      <c r="W25" s="4"/>
      <c r="X25" s="4"/>
      <c r="Y25" s="4"/>
      <c r="Z25" s="4"/>
      <c r="AA25" s="4"/>
      <c r="AB25" s="4"/>
      <c r="AC25" s="4"/>
      <c r="AD25" s="4"/>
      <c r="AE25" s="4"/>
    </row>
    <row r="26" spans="2:31" x14ac:dyDescent="0.3">
      <c r="B26" s="376"/>
      <c r="C26" s="87" t="s">
        <v>104</v>
      </c>
      <c r="D26" s="91"/>
      <c r="E26" s="90">
        <f>E25/('Model input'!$D$79/'Model input'!$G$79)</f>
        <v>-170.47031145239819</v>
      </c>
      <c r="F26" s="90">
        <f>F25/('Model input'!$D$79/'Model input'!$G$79)</f>
        <v>-91.56067114355362</v>
      </c>
      <c r="G26" s="90">
        <f>G25/('Model input'!$D$79/'Model input'!$G$79)</f>
        <v>300.59378174605558</v>
      </c>
      <c r="H26" s="90">
        <f>H25/('Model input'!$D$79/'Model input'!$G$79)</f>
        <v>436.39158454045952</v>
      </c>
      <c r="I26" s="90">
        <f>I25/('Model input'!$D$79/'Model input'!$G$79)</f>
        <v>185.28027526914775</v>
      </c>
      <c r="J26" s="90">
        <f>J25/('Model input'!$D$79/'Model input'!$G$79)</f>
        <v>230.82411166389929</v>
      </c>
      <c r="K26" s="90">
        <f>K25/('Model input'!$D$79/'Model input'!$G$79)</f>
        <v>178.81810518246019</v>
      </c>
      <c r="L26" s="90">
        <f>L25/('Model input'!$D$79/'Model input'!$G$79)</f>
        <v>157.8536653274129</v>
      </c>
      <c r="M26" s="90">
        <f>M25/('Model input'!$D$79/'Model input'!$G$79)</f>
        <v>174.59511170356947</v>
      </c>
      <c r="N26" s="90">
        <f>N25/('Model input'!$D$79/'Model input'!$G$79)</f>
        <v>159.7365764462098</v>
      </c>
      <c r="O26" s="138"/>
      <c r="P26" s="6"/>
      <c r="Q26" s="4"/>
      <c r="R26" s="4"/>
      <c r="S26" s="4"/>
      <c r="T26" s="4"/>
      <c r="U26" s="4"/>
      <c r="V26" s="4"/>
      <c r="W26" s="4"/>
      <c r="X26" s="4"/>
      <c r="Y26" s="4"/>
      <c r="Z26" s="4"/>
      <c r="AA26" s="4"/>
      <c r="AB26" s="4"/>
      <c r="AC26" s="4"/>
      <c r="AD26" s="4"/>
      <c r="AE26" s="4"/>
    </row>
    <row r="27" spans="2:31" ht="15" thickBot="1" x14ac:dyDescent="0.35">
      <c r="B27" s="377"/>
      <c r="C27" s="93" t="s">
        <v>106</v>
      </c>
      <c r="D27" s="94"/>
      <c r="E27" s="95">
        <f>E26*'Model input'!$E$84</f>
        <v>-2.9661834192717285</v>
      </c>
      <c r="F27" s="95">
        <f>F26*'Model input'!$E$84</f>
        <v>-1.5931556778978329</v>
      </c>
      <c r="G27" s="95">
        <f>G26*'Model input'!$E$84</f>
        <v>5.2303318023813672</v>
      </c>
      <c r="H27" s="95">
        <f>H26*'Model input'!$E$84</f>
        <v>7.5932135710039947</v>
      </c>
      <c r="I27" s="95">
        <f>I26*'Model input'!$E$84</f>
        <v>3.2238767896831706</v>
      </c>
      <c r="J27" s="95">
        <f>J26*'Model input'!$E$84</f>
        <v>4.0163395429518474</v>
      </c>
      <c r="K27" s="95">
        <f>K26*'Model input'!$E$84</f>
        <v>3.1114350301748068</v>
      </c>
      <c r="L27" s="95">
        <f>L26*'Model input'!$E$84</f>
        <v>2.7466537766969843</v>
      </c>
      <c r="M27" s="95">
        <f>M26*'Model input'!$E$84</f>
        <v>3.0379549436421085</v>
      </c>
      <c r="N27" s="95">
        <f>N26*'Model input'!$E$84</f>
        <v>2.77941643016405</v>
      </c>
      <c r="O27" s="139"/>
      <c r="P27" s="6"/>
      <c r="Q27" s="4"/>
      <c r="R27" s="4"/>
      <c r="S27" s="4"/>
      <c r="T27" s="4"/>
      <c r="U27" s="4"/>
      <c r="V27" s="4"/>
      <c r="W27" s="4"/>
      <c r="X27" s="4"/>
      <c r="Y27" s="4"/>
      <c r="Z27" s="4"/>
      <c r="AA27" s="4"/>
      <c r="AB27" s="4"/>
      <c r="AC27" s="4"/>
      <c r="AD27" s="4"/>
      <c r="AE27" s="4"/>
    </row>
    <row r="28" spans="2:31" ht="13.5" customHeight="1" collapsed="1" x14ac:dyDescent="0.3">
      <c r="B28" s="96" t="s">
        <v>122</v>
      </c>
      <c r="C28" s="97"/>
      <c r="D28" s="98" t="s">
        <v>92</v>
      </c>
      <c r="E28" s="99">
        <f t="shared" ref="E28:N28" si="6">E10+E24</f>
        <v>-116.78840663812939</v>
      </c>
      <c r="F28" s="99">
        <f t="shared" si="6"/>
        <v>10.560358363949362</v>
      </c>
      <c r="G28" s="99">
        <f t="shared" si="6"/>
        <v>370.90839727046597</v>
      </c>
      <c r="H28" s="99">
        <f t="shared" si="6"/>
        <v>521.88378728189025</v>
      </c>
      <c r="I28" s="99">
        <f t="shared" si="6"/>
        <v>237.56443194589622</v>
      </c>
      <c r="J28" s="99">
        <f t="shared" si="6"/>
        <v>330.1776229836446</v>
      </c>
      <c r="K28" s="99">
        <f t="shared" si="6"/>
        <v>287.24179216609025</v>
      </c>
      <c r="L28" s="99">
        <f t="shared" si="6"/>
        <v>276.04114541246179</v>
      </c>
      <c r="M28" s="99">
        <f t="shared" si="6"/>
        <v>317.13054322863115</v>
      </c>
      <c r="N28" s="99">
        <f t="shared" si="6"/>
        <v>314.51730164604629</v>
      </c>
      <c r="O28" s="140"/>
      <c r="P28" s="6"/>
      <c r="Q28" s="4"/>
      <c r="R28" s="4"/>
      <c r="S28" s="4"/>
      <c r="T28" s="4"/>
      <c r="U28" s="4"/>
      <c r="V28" s="4"/>
      <c r="W28" s="4"/>
      <c r="X28" s="4"/>
      <c r="Y28" s="4"/>
      <c r="Z28" s="4"/>
      <c r="AA28" s="4"/>
      <c r="AB28" s="4"/>
      <c r="AC28" s="4"/>
      <c r="AD28" s="4"/>
      <c r="AE28" s="4"/>
    </row>
    <row r="29" spans="2:31" x14ac:dyDescent="0.3">
      <c r="B29" s="96" t="s">
        <v>123</v>
      </c>
      <c r="C29" s="100"/>
      <c r="D29" s="101" t="s">
        <v>92</v>
      </c>
      <c r="E29" s="102">
        <f t="shared" ref="E29:N29" si="7">E12+E26</f>
        <v>-170.47031145239819</v>
      </c>
      <c r="F29" s="102">
        <f t="shared" si="7"/>
        <v>14.013124879372796</v>
      </c>
      <c r="G29" s="102">
        <f t="shared" si="7"/>
        <v>447.43537453343345</v>
      </c>
      <c r="H29" s="102">
        <f t="shared" si="7"/>
        <v>572.32770713937111</v>
      </c>
      <c r="I29" s="102">
        <f t="shared" si="7"/>
        <v>236.84253423823856</v>
      </c>
      <c r="J29" s="102">
        <f t="shared" si="7"/>
        <v>299.24936128490987</v>
      </c>
      <c r="K29" s="102">
        <f t="shared" si="7"/>
        <v>236.66854349840548</v>
      </c>
      <c r="L29" s="102">
        <f t="shared" si="7"/>
        <v>206.76358135816665</v>
      </c>
      <c r="M29" s="102">
        <f t="shared" si="7"/>
        <v>215.94622252957038</v>
      </c>
      <c r="N29" s="102">
        <f t="shared" si="7"/>
        <v>194.69706105364691</v>
      </c>
      <c r="O29" s="141"/>
      <c r="P29" s="6"/>
      <c r="Q29" s="4"/>
      <c r="R29" s="4"/>
      <c r="S29" s="4"/>
      <c r="T29" s="4"/>
      <c r="U29" s="4"/>
      <c r="V29" s="4"/>
      <c r="W29" s="4"/>
      <c r="X29" s="4"/>
      <c r="Y29" s="4"/>
      <c r="Z29" s="4"/>
      <c r="AA29" s="4"/>
      <c r="AB29" s="4"/>
      <c r="AC29" s="4"/>
      <c r="AD29" s="4"/>
      <c r="AE29" s="4"/>
    </row>
    <row r="30" spans="2:31" x14ac:dyDescent="0.3">
      <c r="B30" s="96" t="s">
        <v>124</v>
      </c>
      <c r="C30" s="100"/>
      <c r="D30" s="101" t="s">
        <v>92</v>
      </c>
      <c r="E30" s="102">
        <f t="shared" ref="E30:N30" si="8">E13+E27</f>
        <v>-2.9661834192717285</v>
      </c>
      <c r="F30" s="102">
        <f t="shared" si="8"/>
        <v>0.24382837290108661</v>
      </c>
      <c r="G30" s="102">
        <f t="shared" si="8"/>
        <v>7.785375516881742</v>
      </c>
      <c r="H30" s="102">
        <f t="shared" si="8"/>
        <v>9.9585021042250581</v>
      </c>
      <c r="I30" s="102">
        <f t="shared" si="8"/>
        <v>4.1210600957453503</v>
      </c>
      <c r="J30" s="102">
        <f t="shared" si="8"/>
        <v>5.2069388863574311</v>
      </c>
      <c r="K30" s="102">
        <f t="shared" si="8"/>
        <v>4.1180326568722547</v>
      </c>
      <c r="L30" s="102">
        <f t="shared" si="8"/>
        <v>3.5976863156320995</v>
      </c>
      <c r="M30" s="102">
        <f t="shared" si="8"/>
        <v>3.7574642720145239</v>
      </c>
      <c r="N30" s="102">
        <f t="shared" si="8"/>
        <v>3.3877288623334558</v>
      </c>
      <c r="O30" s="141"/>
      <c r="P30" s="6"/>
      <c r="Q30" s="4"/>
      <c r="R30" s="4"/>
      <c r="S30" s="4"/>
      <c r="T30" s="4"/>
      <c r="U30" s="4"/>
      <c r="V30" s="4"/>
      <c r="W30" s="4"/>
      <c r="X30" s="4"/>
      <c r="Y30" s="4"/>
      <c r="Z30" s="4"/>
      <c r="AA30" s="4"/>
      <c r="AB30" s="4"/>
      <c r="AC30" s="4"/>
      <c r="AD30" s="4"/>
      <c r="AE30" s="4"/>
    </row>
    <row r="31" spans="2:31" ht="35.4" customHeight="1" x14ac:dyDescent="0.3">
      <c r="B31" s="334"/>
      <c r="C31" s="4"/>
      <c r="D31" s="4"/>
      <c r="E31" s="4"/>
      <c r="F31" s="4"/>
      <c r="G31" s="4"/>
      <c r="H31" s="4"/>
      <c r="I31" s="4"/>
      <c r="J31" s="4"/>
      <c r="K31" s="4"/>
      <c r="L31" s="4"/>
      <c r="M31" s="4"/>
      <c r="N31" s="4"/>
      <c r="O31" s="4"/>
      <c r="P31" s="6"/>
      <c r="Q31" s="4"/>
      <c r="AE31" s="4"/>
    </row>
    <row r="32" spans="2:31" ht="21" x14ac:dyDescent="0.4">
      <c r="B32" s="332" t="s">
        <v>233</v>
      </c>
      <c r="C32" s="4"/>
      <c r="D32" s="4"/>
      <c r="E32" s="4"/>
      <c r="F32" s="64"/>
      <c r="G32" s="4"/>
      <c r="H32" s="4"/>
      <c r="I32" s="4"/>
      <c r="J32" s="72"/>
      <c r="K32" s="4"/>
      <c r="L32" s="4"/>
      <c r="M32" s="4"/>
      <c r="N32" s="4"/>
      <c r="O32" s="4"/>
      <c r="P32" s="6"/>
      <c r="Q32" s="4"/>
      <c r="R32" s="142" t="s">
        <v>125</v>
      </c>
      <c r="S32" s="4"/>
      <c r="T32" s="4"/>
      <c r="U32" s="4"/>
      <c r="V32" s="4"/>
      <c r="W32" s="4"/>
      <c r="X32" s="4"/>
      <c r="Y32" s="4"/>
      <c r="Z32" s="4"/>
      <c r="AA32" s="4"/>
      <c r="AB32" s="4"/>
      <c r="AC32" s="4"/>
      <c r="AD32" s="4"/>
      <c r="AE32" s="4"/>
    </row>
    <row r="33" spans="2:31" ht="16.2" thickBot="1" x14ac:dyDescent="0.35">
      <c r="B33" s="337" t="s">
        <v>88</v>
      </c>
      <c r="C33" s="336"/>
      <c r="D33" s="336">
        <v>2018</v>
      </c>
      <c r="E33" s="336">
        <v>2019</v>
      </c>
      <c r="F33" s="336">
        <v>2020</v>
      </c>
      <c r="G33" s="336">
        <v>2021</v>
      </c>
      <c r="H33" s="336">
        <v>2022</v>
      </c>
      <c r="I33" s="336">
        <v>2023</v>
      </c>
      <c r="J33" s="336">
        <v>2024</v>
      </c>
      <c r="K33" s="336">
        <v>2025</v>
      </c>
      <c r="L33" s="336">
        <v>2026</v>
      </c>
      <c r="M33" s="336">
        <v>2027</v>
      </c>
      <c r="N33" s="336">
        <v>2028</v>
      </c>
      <c r="O33" s="336">
        <v>2029</v>
      </c>
      <c r="P33" s="6"/>
      <c r="Q33" s="4"/>
      <c r="R33" s="80" t="s">
        <v>88</v>
      </c>
      <c r="S33" s="65">
        <v>2018</v>
      </c>
      <c r="T33" s="65">
        <v>2019</v>
      </c>
      <c r="U33" s="65">
        <v>2020</v>
      </c>
      <c r="V33" s="65">
        <v>2021</v>
      </c>
      <c r="W33" s="65">
        <v>2022</v>
      </c>
      <c r="X33" s="65">
        <v>2023</v>
      </c>
      <c r="Y33" s="65">
        <v>2024</v>
      </c>
      <c r="Z33" s="65">
        <v>2025</v>
      </c>
      <c r="AA33" s="65">
        <v>2026</v>
      </c>
      <c r="AB33" s="65">
        <v>2027</v>
      </c>
      <c r="AC33" s="65">
        <v>2028</v>
      </c>
      <c r="AD33" s="65">
        <v>2029</v>
      </c>
      <c r="AE33" s="4"/>
    </row>
    <row r="34" spans="2:31" x14ac:dyDescent="0.3">
      <c r="B34" s="375" t="s">
        <v>90</v>
      </c>
      <c r="C34" s="85" t="s">
        <v>91</v>
      </c>
      <c r="D34" s="66" t="s">
        <v>92</v>
      </c>
      <c r="E34" s="73" t="s">
        <v>92</v>
      </c>
      <c r="F34" s="207">
        <v>0</v>
      </c>
      <c r="G34" s="207">
        <f>H34</f>
        <v>0.11770000000000001</v>
      </c>
      <c r="H34" s="207">
        <f>I34*(1-'Sensitivity analysis'!C9)</f>
        <v>0.11770000000000001</v>
      </c>
      <c r="I34" s="328">
        <v>0.11</v>
      </c>
      <c r="J34" s="207">
        <f>I34+I34*'Sensitivity analysis'!$C$9</f>
        <v>0.1023</v>
      </c>
      <c r="K34" s="207">
        <f>J34+J34*'Sensitivity analysis'!$C$9</f>
        <v>9.5139000000000001E-2</v>
      </c>
      <c r="L34" s="207">
        <f>K34+K34*'Sensitivity analysis'!$C$9</f>
        <v>8.8479269999999999E-2</v>
      </c>
      <c r="M34" s="207">
        <f>L34+L34*'Sensitivity analysis'!$C$9</f>
        <v>8.2285721100000001E-2</v>
      </c>
      <c r="N34" s="207">
        <f>M34+M34*'Sensitivity analysis'!$C$9</f>
        <v>7.6525720623000004E-2</v>
      </c>
      <c r="O34" s="207">
        <f>N34+N34*'Sensitivity analysis'!$C$9</f>
        <v>7.1168920179389999E-2</v>
      </c>
      <c r="P34" s="6"/>
      <c r="Q34" s="4"/>
      <c r="R34" s="80" t="s">
        <v>95</v>
      </c>
      <c r="S34" s="9"/>
      <c r="T34" s="124"/>
      <c r="U34" s="117">
        <f t="shared" ref="U34:AD34" si="9">F46</f>
        <v>14.27</v>
      </c>
      <c r="V34" s="117">
        <f t="shared" si="9"/>
        <v>0.69999999999999929</v>
      </c>
      <c r="W34" s="117">
        <f t="shared" si="9"/>
        <v>8.8000000000000007</v>
      </c>
      <c r="X34" s="117">
        <f t="shared" si="9"/>
        <v>8.1840000000000011</v>
      </c>
      <c r="Y34" s="117">
        <f t="shared" si="9"/>
        <v>7.6111200000000006</v>
      </c>
      <c r="Z34" s="117">
        <f t="shared" si="9"/>
        <v>7.0783416000000008</v>
      </c>
      <c r="AA34" s="117">
        <f t="shared" si="9"/>
        <v>6.5828576880000007</v>
      </c>
      <c r="AB34" s="117">
        <f t="shared" si="9"/>
        <v>6.1220576498400003</v>
      </c>
      <c r="AC34" s="117">
        <f t="shared" si="9"/>
        <v>5.6935136143512004</v>
      </c>
      <c r="AD34" s="117">
        <f t="shared" si="9"/>
        <v>5.2949676613466163</v>
      </c>
      <c r="AE34" s="4"/>
    </row>
    <row r="35" spans="2:31" x14ac:dyDescent="0.3">
      <c r="B35" s="376"/>
      <c r="C35" s="9" t="s">
        <v>93</v>
      </c>
      <c r="D35" s="67" t="s">
        <v>92</v>
      </c>
      <c r="E35" s="74" t="s">
        <v>92</v>
      </c>
      <c r="F35" s="68">
        <v>0</v>
      </c>
      <c r="G35" s="68">
        <f>'Model input'!$D$21*G34*'Model input'!$C$37</f>
        <v>3.5192300000000003</v>
      </c>
      <c r="H35" s="68">
        <f>'Model input'!$D$21*H34*'Model input'!$C$37</f>
        <v>3.5192300000000003</v>
      </c>
      <c r="I35" s="68">
        <f>'Model input'!$D$21*I34*'Model input'!$C$37</f>
        <v>3.2890000000000001</v>
      </c>
      <c r="J35" s="68">
        <f>'Model input'!$D$21*J34*'Model input'!$C$37</f>
        <v>3.0587700000000004</v>
      </c>
      <c r="K35" s="68">
        <f>'Model input'!$D$21*K34*'Model input'!$C$37</f>
        <v>2.8446560999999999</v>
      </c>
      <c r="L35" s="68">
        <f>'Model input'!$D$21*L34*'Model input'!$C$37</f>
        <v>2.645530173</v>
      </c>
      <c r="M35" s="68">
        <f>'Model input'!$D$21*M34*'Model input'!$C$37</f>
        <v>2.4603430608900005</v>
      </c>
      <c r="N35" s="68">
        <f>'Model input'!$D$21*N34*'Model input'!$C$37</f>
        <v>2.2881190466277004</v>
      </c>
      <c r="O35" s="126">
        <f>'Model input'!$D$21*O34*'Model input'!$C$37</f>
        <v>2.1279507133637607</v>
      </c>
      <c r="P35" s="6"/>
      <c r="Q35" s="4"/>
      <c r="R35" s="80" t="s">
        <v>97</v>
      </c>
      <c r="S35" s="9"/>
      <c r="T35" s="124"/>
      <c r="U35" s="117">
        <f t="shared" ref="U35:AD42" si="10">T34</f>
        <v>0</v>
      </c>
      <c r="V35" s="117">
        <f t="shared" si="10"/>
        <v>14.27</v>
      </c>
      <c r="W35" s="117">
        <f t="shared" si="10"/>
        <v>0.69999999999999929</v>
      </c>
      <c r="X35" s="117">
        <f t="shared" si="10"/>
        <v>8.8000000000000007</v>
      </c>
      <c r="Y35" s="117">
        <f t="shared" si="10"/>
        <v>8.1840000000000011</v>
      </c>
      <c r="Z35" s="117">
        <f t="shared" si="10"/>
        <v>7.6111200000000006</v>
      </c>
      <c r="AA35" s="117">
        <f t="shared" si="10"/>
        <v>7.0783416000000008</v>
      </c>
      <c r="AB35" s="117">
        <f t="shared" si="10"/>
        <v>6.5828576880000007</v>
      </c>
      <c r="AC35" s="117">
        <f t="shared" si="10"/>
        <v>6.1220576498400003</v>
      </c>
      <c r="AD35" s="117">
        <f t="shared" si="10"/>
        <v>5.6935136143512004</v>
      </c>
      <c r="AE35" s="4"/>
    </row>
    <row r="36" spans="2:31" x14ac:dyDescent="0.3">
      <c r="B36" s="376"/>
      <c r="C36" s="9" t="s">
        <v>126</v>
      </c>
      <c r="D36" s="67" t="s">
        <v>92</v>
      </c>
      <c r="E36" s="75" t="s">
        <v>92</v>
      </c>
      <c r="F36" s="68">
        <f>F35*'Model input'!E52</f>
        <v>0</v>
      </c>
      <c r="G36" s="68">
        <f>G35*'Model input'!F52</f>
        <v>84.815737952525438</v>
      </c>
      <c r="H36" s="68">
        <f>H35*'Model input'!G52</f>
        <v>92.179796196604926</v>
      </c>
      <c r="I36" s="68">
        <f>I35*'Model input'!H52</f>
        <v>40.40366951130904</v>
      </c>
      <c r="J36" s="68">
        <f>J35*'Model input'!I52</f>
        <v>57.288838486006114</v>
      </c>
      <c r="K36" s="68">
        <f>K35*'Model input'!J52</f>
        <v>53.278619791985676</v>
      </c>
      <c r="L36" s="68">
        <f>L35*'Model input'!K52</f>
        <v>49.54911640654668</v>
      </c>
      <c r="M36" s="68">
        <f>M35*'Model input'!L52</f>
        <v>46.080678258088419</v>
      </c>
      <c r="N36" s="68">
        <f>N35*'Model input'!M52</f>
        <v>42.855030780022233</v>
      </c>
      <c r="O36" s="126">
        <f>O35*'Model input'!N52</f>
        <v>39.855178625420663</v>
      </c>
      <c r="P36" s="6"/>
      <c r="Q36" s="4"/>
      <c r="R36" s="80" t="s">
        <v>99</v>
      </c>
      <c r="S36" s="9"/>
      <c r="T36" s="124"/>
      <c r="U36" s="117">
        <f t="shared" si="10"/>
        <v>0</v>
      </c>
      <c r="V36" s="117">
        <f t="shared" si="10"/>
        <v>0</v>
      </c>
      <c r="W36" s="117">
        <f t="shared" si="10"/>
        <v>14.27</v>
      </c>
      <c r="X36" s="117">
        <f t="shared" si="10"/>
        <v>0.69999999999999929</v>
      </c>
      <c r="Y36" s="117">
        <f t="shared" si="10"/>
        <v>8.8000000000000007</v>
      </c>
      <c r="Z36" s="117">
        <f t="shared" si="10"/>
        <v>8.1840000000000011</v>
      </c>
      <c r="AA36" s="117">
        <f t="shared" si="10"/>
        <v>7.6111200000000006</v>
      </c>
      <c r="AB36" s="117">
        <f t="shared" si="10"/>
        <v>7.0783416000000008</v>
      </c>
      <c r="AC36" s="117">
        <f t="shared" si="10"/>
        <v>6.5828576880000007</v>
      </c>
      <c r="AD36" s="117">
        <f t="shared" si="10"/>
        <v>6.1220576498400003</v>
      </c>
      <c r="AE36" s="4"/>
    </row>
    <row r="37" spans="2:31" x14ac:dyDescent="0.3">
      <c r="B37" s="376"/>
      <c r="C37" s="9" t="s">
        <v>96</v>
      </c>
      <c r="D37" s="67" t="s">
        <v>92</v>
      </c>
      <c r="E37" s="74" t="s">
        <v>92</v>
      </c>
      <c r="F37" s="68">
        <f>F35/'Model input'!$C$29</f>
        <v>0</v>
      </c>
      <c r="G37" s="68">
        <f>G35/'Model input'!$C$29</f>
        <v>7.0384600000000005E-2</v>
      </c>
      <c r="H37" s="68">
        <f>H35/'Model input'!$C$29</f>
        <v>7.0384600000000005E-2</v>
      </c>
      <c r="I37" s="68">
        <f>I35/'Model input'!$C$29</f>
        <v>6.5780000000000005E-2</v>
      </c>
      <c r="J37" s="68">
        <f>J35/'Model input'!$C$29</f>
        <v>6.1175400000000012E-2</v>
      </c>
      <c r="K37" s="68">
        <f>K35/'Model input'!$C$29</f>
        <v>5.6893121999999997E-2</v>
      </c>
      <c r="L37" s="68">
        <f>L35/'Model input'!$C$29</f>
        <v>5.2910603460000004E-2</v>
      </c>
      <c r="M37" s="68">
        <f>M35/'Model input'!$C$29</f>
        <v>4.9206861217800012E-2</v>
      </c>
      <c r="N37" s="68">
        <f>N35/'Model input'!$C$29</f>
        <v>4.5762380932554005E-2</v>
      </c>
      <c r="O37" s="126">
        <f>O35/'Model input'!$C$29</f>
        <v>4.2559014267275215E-2</v>
      </c>
      <c r="P37" s="6"/>
      <c r="Q37" s="4"/>
      <c r="R37" s="80" t="s">
        <v>101</v>
      </c>
      <c r="S37" s="9"/>
      <c r="T37" s="124"/>
      <c r="U37" s="117">
        <f t="shared" si="10"/>
        <v>0</v>
      </c>
      <c r="V37" s="117">
        <f t="shared" si="10"/>
        <v>0</v>
      </c>
      <c r="W37" s="117">
        <f t="shared" si="10"/>
        <v>0</v>
      </c>
      <c r="X37" s="117">
        <f t="shared" si="10"/>
        <v>14.27</v>
      </c>
      <c r="Y37" s="117">
        <f t="shared" si="10"/>
        <v>0.69999999999999929</v>
      </c>
      <c r="Z37" s="117">
        <f t="shared" si="10"/>
        <v>8.8000000000000007</v>
      </c>
      <c r="AA37" s="117">
        <f t="shared" si="10"/>
        <v>8.1840000000000011</v>
      </c>
      <c r="AB37" s="117">
        <f t="shared" si="10"/>
        <v>7.6111200000000006</v>
      </c>
      <c r="AC37" s="117">
        <f t="shared" si="10"/>
        <v>7.0783416000000008</v>
      </c>
      <c r="AD37" s="117">
        <f t="shared" si="10"/>
        <v>6.5828576880000007</v>
      </c>
      <c r="AE37" s="4"/>
    </row>
    <row r="38" spans="2:31" x14ac:dyDescent="0.3">
      <c r="B38" s="376"/>
      <c r="C38" s="9" t="s">
        <v>127</v>
      </c>
      <c r="D38" s="67" t="s">
        <v>92</v>
      </c>
      <c r="E38" s="75" t="s">
        <v>92</v>
      </c>
      <c r="F38" s="69">
        <f>F37*'Model input'!E59</f>
        <v>0</v>
      </c>
      <c r="G38" s="69">
        <f>G37*'Model input'!F59</f>
        <v>3.7613935961554761</v>
      </c>
      <c r="H38" s="69">
        <f>H37*'Model input'!G59</f>
        <v>3.4290884185137029</v>
      </c>
      <c r="I38" s="69">
        <f>I37*'Model input'!H59</f>
        <v>3.190655899695221</v>
      </c>
      <c r="J38" s="69">
        <f>J37*'Model input'!I59</f>
        <v>2.9673099867165558</v>
      </c>
      <c r="K38" s="69">
        <f>K37*'Model input'!J59</f>
        <v>2.759598287646396</v>
      </c>
      <c r="L38" s="69">
        <f>L37*'Model input'!K59</f>
        <v>2.5664264075111487</v>
      </c>
      <c r="M38" s="69">
        <f>M37*'Model input'!L59</f>
        <v>2.3867765589853689</v>
      </c>
      <c r="N38" s="69">
        <f>N37*'Model input'!M59</f>
        <v>2.2197021998563926</v>
      </c>
      <c r="O38" s="127">
        <f>O37*'Model input'!N59</f>
        <v>2.0643230458664448</v>
      </c>
      <c r="P38" s="6"/>
      <c r="Q38" s="4"/>
      <c r="R38" s="80" t="s">
        <v>103</v>
      </c>
      <c r="S38" s="9"/>
      <c r="T38" s="124"/>
      <c r="U38" s="117">
        <f t="shared" si="10"/>
        <v>0</v>
      </c>
      <c r="V38" s="117">
        <f t="shared" si="10"/>
        <v>0</v>
      </c>
      <c r="W38" s="117">
        <f t="shared" si="10"/>
        <v>0</v>
      </c>
      <c r="X38" s="117">
        <f t="shared" si="10"/>
        <v>0</v>
      </c>
      <c r="Y38" s="117">
        <f t="shared" si="10"/>
        <v>14.27</v>
      </c>
      <c r="Z38" s="117">
        <f t="shared" si="10"/>
        <v>0.69999999999999929</v>
      </c>
      <c r="AA38" s="117">
        <f t="shared" si="10"/>
        <v>8.8000000000000007</v>
      </c>
      <c r="AB38" s="117">
        <f t="shared" si="10"/>
        <v>8.1840000000000011</v>
      </c>
      <c r="AC38" s="117">
        <f t="shared" si="10"/>
        <v>7.6111200000000006</v>
      </c>
      <c r="AD38" s="117">
        <f t="shared" si="10"/>
        <v>7.0783416000000008</v>
      </c>
      <c r="AE38" s="4"/>
    </row>
    <row r="39" spans="2:31" x14ac:dyDescent="0.3">
      <c r="B39" s="376"/>
      <c r="C39" s="103" t="s">
        <v>128</v>
      </c>
      <c r="D39" s="104" t="s">
        <v>92</v>
      </c>
      <c r="E39" s="104" t="s">
        <v>92</v>
      </c>
      <c r="F39" s="105">
        <f t="shared" ref="F39:O39" si="11">F36-F38</f>
        <v>0</v>
      </c>
      <c r="G39" s="105">
        <f t="shared" si="11"/>
        <v>81.054344356369967</v>
      </c>
      <c r="H39" s="105">
        <f t="shared" si="11"/>
        <v>88.750707778091225</v>
      </c>
      <c r="I39" s="105">
        <f t="shared" si="11"/>
        <v>37.213013611613817</v>
      </c>
      <c r="J39" s="206">
        <f t="shared" si="11"/>
        <v>54.321528499289556</v>
      </c>
      <c r="K39" s="105">
        <f t="shared" si="11"/>
        <v>50.519021504339278</v>
      </c>
      <c r="L39" s="105">
        <f t="shared" si="11"/>
        <v>46.982689999035529</v>
      </c>
      <c r="M39" s="105">
        <f t="shared" si="11"/>
        <v>43.693901699103051</v>
      </c>
      <c r="N39" s="105">
        <f t="shared" si="11"/>
        <v>40.63532858016584</v>
      </c>
      <c r="O39" s="128">
        <f t="shared" si="11"/>
        <v>37.790855579554218</v>
      </c>
      <c r="P39" s="6"/>
      <c r="Q39" s="4"/>
      <c r="R39" s="80" t="s">
        <v>105</v>
      </c>
      <c r="S39" s="9"/>
      <c r="T39" s="124"/>
      <c r="U39" s="117">
        <f t="shared" si="10"/>
        <v>0</v>
      </c>
      <c r="V39" s="117">
        <f t="shared" si="10"/>
        <v>0</v>
      </c>
      <c r="W39" s="117">
        <f t="shared" si="10"/>
        <v>0</v>
      </c>
      <c r="X39" s="117">
        <f t="shared" si="10"/>
        <v>0</v>
      </c>
      <c r="Y39" s="117">
        <f t="shared" si="10"/>
        <v>0</v>
      </c>
      <c r="Z39" s="117">
        <f t="shared" si="10"/>
        <v>14.27</v>
      </c>
      <c r="AA39" s="117">
        <f t="shared" si="10"/>
        <v>0.69999999999999929</v>
      </c>
      <c r="AB39" s="117">
        <f t="shared" si="10"/>
        <v>8.8000000000000007</v>
      </c>
      <c r="AC39" s="117">
        <f t="shared" si="10"/>
        <v>8.1840000000000011</v>
      </c>
      <c r="AD39" s="117">
        <f t="shared" si="10"/>
        <v>7.6111200000000006</v>
      </c>
      <c r="AE39" s="4"/>
    </row>
    <row r="40" spans="2:31" x14ac:dyDescent="0.3">
      <c r="B40" s="376"/>
      <c r="C40" s="103" t="s">
        <v>129</v>
      </c>
      <c r="D40" s="104"/>
      <c r="E40" s="104" t="s">
        <v>92</v>
      </c>
      <c r="F40" s="71">
        <f>F39/(1+'Model input'!$C$13)^(F33-2019)</f>
        <v>0</v>
      </c>
      <c r="G40" s="71">
        <f>G39/(1+'Model input'!$C$13)^(G33-2019)</f>
        <v>66.987061451545415</v>
      </c>
      <c r="H40" s="71">
        <f>H39/(1+'Model input'!$C$13)^(H33-2019)</f>
        <v>66.679720344170704</v>
      </c>
      <c r="I40" s="71">
        <f>I39/(1+'Model input'!$C$13)^(I33-2019)</f>
        <v>25.416989011415755</v>
      </c>
      <c r="J40" s="71">
        <f>J39/(1+'Model input'!$C$13)^(J33-2019)</f>
        <v>33.729395346374467</v>
      </c>
      <c r="K40" s="71">
        <f>K39/(1+'Model input'!$C$13)^(K33-2019)</f>
        <v>28.516670611025674</v>
      </c>
      <c r="L40" s="71">
        <f>L39/(1+'Model input'!$C$13)^(L33-2019)</f>
        <v>24.109548789321703</v>
      </c>
      <c r="M40" s="71">
        <f>M39/(1+'Model input'!$C$13)^(M33-2019)</f>
        <v>20.383527612790175</v>
      </c>
      <c r="N40" s="71">
        <f>N39/(1+'Model input'!$C$13)^(N33-2019)</f>
        <v>17.23334607263169</v>
      </c>
      <c r="O40" s="129">
        <f>O39/(1+'Model input'!$C$13)^(O33-2019)</f>
        <v>14.570010770497696</v>
      </c>
      <c r="P40" s="6"/>
      <c r="Q40" s="4"/>
      <c r="R40" s="80" t="s">
        <v>107</v>
      </c>
      <c r="S40" s="9"/>
      <c r="T40" s="124"/>
      <c r="U40" s="117">
        <f t="shared" si="10"/>
        <v>0</v>
      </c>
      <c r="V40" s="117">
        <f t="shared" si="10"/>
        <v>0</v>
      </c>
      <c r="W40" s="117">
        <f t="shared" si="10"/>
        <v>0</v>
      </c>
      <c r="X40" s="117">
        <f t="shared" si="10"/>
        <v>0</v>
      </c>
      <c r="Y40" s="117">
        <f t="shared" si="10"/>
        <v>0</v>
      </c>
      <c r="Z40" s="117">
        <f t="shared" si="10"/>
        <v>0</v>
      </c>
      <c r="AA40" s="117">
        <f t="shared" si="10"/>
        <v>14.27</v>
      </c>
      <c r="AB40" s="117">
        <f t="shared" si="10"/>
        <v>0.69999999999999929</v>
      </c>
      <c r="AC40" s="117">
        <f t="shared" si="10"/>
        <v>8.8000000000000007</v>
      </c>
      <c r="AD40" s="117">
        <f t="shared" si="10"/>
        <v>8.1840000000000011</v>
      </c>
      <c r="AE40" s="4"/>
    </row>
    <row r="41" spans="2:31" x14ac:dyDescent="0.3">
      <c r="B41" s="376"/>
      <c r="C41" s="103" t="s">
        <v>104</v>
      </c>
      <c r="D41" s="106"/>
      <c r="E41" s="106"/>
      <c r="F41" s="71">
        <f>F40/('Model input'!$E$79/'Model input'!$G$79)</f>
        <v>0</v>
      </c>
      <c r="G41" s="71">
        <f>G40/('Model input'!$E$79/'Model input'!$G$79)</f>
        <v>95.891746363636358</v>
      </c>
      <c r="H41" s="71">
        <f>H40/('Model input'!$E$79/'Model input'!$G$79)</f>
        <v>95.451788633339248</v>
      </c>
      <c r="I41" s="71">
        <f>I40/('Model input'!$E$79/'Model input'!$G$79)</f>
        <v>36.384331702219832</v>
      </c>
      <c r="J41" s="71">
        <f>J40/('Model input'!$E$79/'Model input'!$G$79)</f>
        <v>48.283512568959523</v>
      </c>
      <c r="K41" s="71">
        <f>K40/('Model input'!$E$79/'Model input'!$G$79)</f>
        <v>40.821515171938486</v>
      </c>
      <c r="L41" s="71">
        <f>L40/('Model input'!$E$79/'Model input'!$G$79)</f>
        <v>34.51273555445708</v>
      </c>
      <c r="M41" s="71">
        <f>M40/('Model input'!$E$79/'Model input'!$G$79)</f>
        <v>29.178949150586455</v>
      </c>
      <c r="N41" s="71">
        <f>N40/('Model input'!$E$79/'Model input'!$G$79)</f>
        <v>24.669475190950362</v>
      </c>
      <c r="O41" s="129">
        <f>O40/('Model input'!$E$79/'Model input'!$G$79)</f>
        <v>20.856919934167113</v>
      </c>
      <c r="P41" s="6"/>
      <c r="Q41" s="4"/>
      <c r="R41" s="80" t="s">
        <v>110</v>
      </c>
      <c r="S41" s="9"/>
      <c r="T41" s="124"/>
      <c r="U41" s="117">
        <f t="shared" si="10"/>
        <v>0</v>
      </c>
      <c r="V41" s="117">
        <f t="shared" si="10"/>
        <v>0</v>
      </c>
      <c r="W41" s="117">
        <f t="shared" si="10"/>
        <v>0</v>
      </c>
      <c r="X41" s="117">
        <f t="shared" si="10"/>
        <v>0</v>
      </c>
      <c r="Y41" s="117">
        <f t="shared" si="10"/>
        <v>0</v>
      </c>
      <c r="Z41" s="117">
        <f t="shared" si="10"/>
        <v>0</v>
      </c>
      <c r="AA41" s="117">
        <f t="shared" si="10"/>
        <v>0</v>
      </c>
      <c r="AB41" s="117">
        <f t="shared" si="10"/>
        <v>14.27</v>
      </c>
      <c r="AC41" s="117">
        <f t="shared" si="10"/>
        <v>0.69999999999999929</v>
      </c>
      <c r="AD41" s="117">
        <f t="shared" si="10"/>
        <v>8.8000000000000007</v>
      </c>
      <c r="AE41" s="4"/>
    </row>
    <row r="42" spans="2:31" ht="15" thickBot="1" x14ac:dyDescent="0.35">
      <c r="B42" s="377"/>
      <c r="C42" s="107" t="s">
        <v>106</v>
      </c>
      <c r="D42" s="108"/>
      <c r="E42" s="108" t="s">
        <v>92</v>
      </c>
      <c r="F42" s="71">
        <f>F41*'Model input'!$E$84</f>
        <v>0</v>
      </c>
      <c r="G42" s="71">
        <f>G41*'Model input'!$E$84</f>
        <v>1.6685163867272725</v>
      </c>
      <c r="H42" s="71">
        <f>H41*'Model input'!$E$84</f>
        <v>1.6608611222201028</v>
      </c>
      <c r="I42" s="71">
        <f>I41*'Model input'!$E$84</f>
        <v>0.63308737161862505</v>
      </c>
      <c r="J42" s="71">
        <f>J41*'Model input'!$E$84</f>
        <v>0.8401331186998956</v>
      </c>
      <c r="K42" s="71">
        <f>K41*'Model input'!$E$84</f>
        <v>0.71029436399172963</v>
      </c>
      <c r="L42" s="71">
        <f>L41*'Model input'!$E$84</f>
        <v>0.60052159864755317</v>
      </c>
      <c r="M42" s="71">
        <f>M41*'Model input'!$E$84</f>
        <v>0.50771371522020425</v>
      </c>
      <c r="N42" s="71">
        <f>N41*'Model input'!$E$84</f>
        <v>0.42924886832253628</v>
      </c>
      <c r="O42" s="129">
        <f>O41*'Model input'!$E$84</f>
        <v>0.36291040685450776</v>
      </c>
      <c r="P42" s="6"/>
      <c r="Q42" s="4"/>
      <c r="R42" s="80" t="s">
        <v>112</v>
      </c>
      <c r="S42" s="9"/>
      <c r="T42" s="124"/>
      <c r="U42" s="117">
        <f t="shared" si="10"/>
        <v>0</v>
      </c>
      <c r="V42" s="117">
        <f t="shared" si="10"/>
        <v>0</v>
      </c>
      <c r="W42" s="117">
        <f t="shared" si="10"/>
        <v>0</v>
      </c>
      <c r="X42" s="117">
        <f t="shared" si="10"/>
        <v>0</v>
      </c>
      <c r="Y42" s="117">
        <f t="shared" si="10"/>
        <v>0</v>
      </c>
      <c r="Z42" s="117">
        <f t="shared" si="10"/>
        <v>0</v>
      </c>
      <c r="AA42" s="117">
        <f t="shared" si="10"/>
        <v>0</v>
      </c>
      <c r="AB42" s="117">
        <f t="shared" si="10"/>
        <v>0</v>
      </c>
      <c r="AC42" s="117">
        <f t="shared" si="10"/>
        <v>14.27</v>
      </c>
      <c r="AD42" s="117">
        <f t="shared" si="10"/>
        <v>0.69999999999999929</v>
      </c>
      <c r="AE42" s="4"/>
    </row>
    <row r="43" spans="2:31" x14ac:dyDescent="0.3">
      <c r="B43" s="375" t="s">
        <v>108</v>
      </c>
      <c r="C43" s="85" t="s">
        <v>109</v>
      </c>
      <c r="D43" s="76" t="s">
        <v>92</v>
      </c>
      <c r="E43" s="109" t="s">
        <v>92</v>
      </c>
      <c r="F43" s="333">
        <v>8</v>
      </c>
      <c r="G43" s="333">
        <v>4</v>
      </c>
      <c r="H43" s="333">
        <v>2</v>
      </c>
      <c r="I43" s="83">
        <f>H43+H43*'Sensitivity analysis'!$C$9</f>
        <v>1.8599999999999999</v>
      </c>
      <c r="J43" s="83">
        <f>I43+I43*'Sensitivity analysis'!$C$9</f>
        <v>1.7297999999999998</v>
      </c>
      <c r="K43" s="83">
        <f>J43+J43*'Sensitivity analysis'!$C$9</f>
        <v>1.6087139999999998</v>
      </c>
      <c r="L43" s="83">
        <f>K43+K43*'Sensitivity analysis'!$C$9</f>
        <v>1.4961040199999998</v>
      </c>
      <c r="M43" s="83">
        <f>L43+L43*'Sensitivity analysis'!$C$9</f>
        <v>1.3913767385999998</v>
      </c>
      <c r="N43" s="83">
        <f>M43+M43*'Sensitivity analysis'!$C$9</f>
        <v>1.2939803668979999</v>
      </c>
      <c r="O43" s="83">
        <f>N43+N43*'Sensitivity analysis'!$C$9</f>
        <v>1.2034017412151399</v>
      </c>
      <c r="P43" s="6"/>
      <c r="Q43" s="4"/>
      <c r="R43" s="122" t="s">
        <v>114</v>
      </c>
      <c r="S43" s="123"/>
      <c r="T43" s="125"/>
      <c r="U43" s="119">
        <f>U34*'Model input'!$C$44+U35*'Model input'!$D$44+SROI!U36*'Model input'!$E$44+SROI!U37*'Model input'!$F$44+SROI!U38*'Model input'!$G$44+SROI!U39*'Model input'!$H$44+SROI!U40*'Model input'!$I$44+SROI!U41*'Model input'!$J$44+SROI!U42*'Model input'!$K$44</f>
        <v>-15.697000000000001</v>
      </c>
      <c r="V43" s="119">
        <f>V34*'Model input'!$C$44+V35*'Model input'!$D$44+SROI!V36*'Model input'!$E$44+SROI!V37*'Model input'!$F$44+SROI!V38*'Model input'!$G$44+SROI!V39*'Model input'!$H$44+SROI!V40*'Model input'!$I$44+SROI!V41*'Model input'!$J$44+SROI!V42*'Model input'!$K$44</f>
        <v>-6.4780000000000015</v>
      </c>
      <c r="W43" s="119">
        <f>W34*'Model input'!$C$44+W35*'Model input'!$D$44+SROI!W36*'Model input'!$E$44+SROI!W37*'Model input'!$F$44+SROI!W38*'Model input'!$G$44+SROI!W39*'Model input'!$H$44+SROI!W40*'Model input'!$I$44+SROI!W41*'Model input'!$J$44+SROI!W42*'Model input'!$K$44</f>
        <v>14.298999999999999</v>
      </c>
      <c r="X43" s="119">
        <f>X34*'Model input'!$C$44+X35*'Model input'!$D$44+SROI!X36*'Model input'!$E$44+SROI!X37*'Model input'!$F$44+SROI!X38*'Model input'!$G$44+SROI!X39*'Model input'!$H$44+SROI!X40*'Model input'!$I$44+SROI!X41*'Model input'!$J$44+SROI!X42*'Model input'!$K$44</f>
        <v>17.207599999999992</v>
      </c>
      <c r="Y43" s="119">
        <f>Y34*'Model input'!$C$44+Y35*'Model input'!$D$44+SROI!Y36*'Model input'!$E$44+SROI!Y37*'Model input'!$F$44+SROI!Y38*'Model input'!$G$44+SROI!Y39*'Model input'!$H$44+SROI!Y40*'Model input'!$I$44+SROI!Y41*'Model input'!$J$44+SROI!Y42*'Model input'!$K$44</f>
        <v>30.400167999999994</v>
      </c>
      <c r="Z43" s="119">
        <f>Z34*'Model input'!$C$44+Z35*'Model input'!$D$44+SROI!Z36*'Model input'!$E$44+SROI!Z37*'Model input'!$F$44+SROI!Z38*'Model input'!$G$44+SROI!Z39*'Model input'!$H$44+SROI!Z40*'Model input'!$I$44+SROI!Z41*'Model input'!$J$44+SROI!Z42*'Model input'!$K$44</f>
        <v>40.493176239999997</v>
      </c>
      <c r="AA43" s="119">
        <f>AA34*'Model input'!$C$44+AA35*'Model input'!$D$44+SROI!AA36*'Model input'!$E$44+SROI!AA37*'Model input'!$F$44+SROI!AA38*'Model input'!$G$44+SROI!AA39*'Model input'!$H$44+SROI!AA40*'Model input'!$I$44+SROI!AA41*'Model input'!$J$44+SROI!AA42*'Model input'!$K$44</f>
        <v>48.827423903199993</v>
      </c>
      <c r="AB43" s="119">
        <f>AB34*'Model input'!$C$44+AB35*'Model input'!$D$44+SROI!AB36*'Model input'!$E$44+SROI!AB37*'Model input'!$F$44+SROI!AB38*'Model input'!$G$44+SROI!AB39*'Model input'!$H$44+SROI!AB40*'Model input'!$I$44+SROI!AB41*'Model input'!$J$44+SROI!AB42*'Model input'!$K$44</f>
        <v>56.105214229976006</v>
      </c>
      <c r="AC43" s="119">
        <f>AC34*'Model input'!$C$44+AC35*'Model input'!$D$44+SROI!AC36*'Model input'!$E$44+SROI!AC37*'Model input'!$F$44+SROI!AC38*'Model input'!$G$44+SROI!AC39*'Model input'!$H$44+SROI!AC40*'Model input'!$I$44+SROI!AC41*'Model input'!$J$44+SROI!AC42*'Model input'!$K$44</f>
        <v>65.152069233877683</v>
      </c>
      <c r="AD43" s="119">
        <f>AD34*'Model input'!$C$44+AD35*'Model input'!$D$44+SROI!AD36*'Model input'!$E$44+SROI!AD37*'Model input'!$F$44+SROI!AD38*'Model input'!$G$44+SROI!AD39*'Model input'!$H$44+SROI!AD40*'Model input'!$I$44+SROI!AD41*'Model input'!$J$44+SROI!AD42*'Model input'!$K$44</f>
        <v>53.282414387506243</v>
      </c>
      <c r="AE43" s="4"/>
    </row>
    <row r="44" spans="2:31" x14ac:dyDescent="0.3">
      <c r="B44" s="376"/>
      <c r="C44" s="9" t="s">
        <v>130</v>
      </c>
      <c r="D44" s="70" t="s">
        <v>92</v>
      </c>
      <c r="E44" s="110" t="s">
        <v>92</v>
      </c>
      <c r="F44" s="324">
        <v>7.09</v>
      </c>
      <c r="G44" s="324">
        <v>7.1</v>
      </c>
      <c r="H44" s="324">
        <v>8.9</v>
      </c>
      <c r="I44" s="84">
        <f>H44+H44*'Sensitivity analysis'!$C$9</f>
        <v>8.277000000000001</v>
      </c>
      <c r="J44" s="84">
        <f>I44+I44*'Sensitivity analysis'!$C$9</f>
        <v>7.697610000000001</v>
      </c>
      <c r="K44" s="84">
        <f>J44+J44*'Sensitivity analysis'!$C$9</f>
        <v>7.1587773000000006</v>
      </c>
      <c r="L44" s="84">
        <f>K44+K44*'Sensitivity analysis'!$C$9</f>
        <v>6.6576628890000009</v>
      </c>
      <c r="M44" s="84">
        <f>L44+L44*'Sensitivity analysis'!$C$9</f>
        <v>6.1916264867700006</v>
      </c>
      <c r="N44" s="84">
        <f>M44+M44*'Sensitivity analysis'!$C$9</f>
        <v>5.7582126326961003</v>
      </c>
      <c r="O44" s="84">
        <f>N44+N44*'Sensitivity analysis'!$C$9</f>
        <v>5.3551377484073734</v>
      </c>
      <c r="P44" s="6"/>
      <c r="Q44" s="4"/>
      <c r="R44" s="4"/>
      <c r="S44" s="4"/>
      <c r="T44" s="4"/>
      <c r="U44" s="4"/>
      <c r="V44" s="4"/>
      <c r="W44" s="4"/>
      <c r="X44" s="4"/>
      <c r="Y44" s="4"/>
      <c r="Z44" s="4"/>
      <c r="AA44" s="4"/>
      <c r="AB44" s="4"/>
      <c r="AC44" s="4"/>
      <c r="AD44" s="4"/>
      <c r="AE44" s="4"/>
    </row>
    <row r="45" spans="2:31" x14ac:dyDescent="0.3">
      <c r="B45" s="376"/>
      <c r="C45" s="9" t="s">
        <v>131</v>
      </c>
      <c r="D45" s="70" t="s">
        <v>92</v>
      </c>
      <c r="E45" s="110" t="s">
        <v>92</v>
      </c>
      <c r="F45" s="324">
        <v>0.82</v>
      </c>
      <c r="G45" s="324">
        <v>10.4</v>
      </c>
      <c r="H45" s="324">
        <v>2.1</v>
      </c>
      <c r="I45" s="84">
        <f>H45+H45*'Sensitivity analysis'!$C$9</f>
        <v>1.9530000000000001</v>
      </c>
      <c r="J45" s="84">
        <f>I45+I45*'Sensitivity analysis'!$C$9</f>
        <v>1.81629</v>
      </c>
      <c r="K45" s="84">
        <f>J45+J45*'Sensitivity analysis'!$C$9</f>
        <v>1.6891497</v>
      </c>
      <c r="L45" s="84">
        <f>K45+K45*'Sensitivity analysis'!$C$9</f>
        <v>1.570909221</v>
      </c>
      <c r="M45" s="84">
        <f>L45+L45*'Sensitivity analysis'!$C$9</f>
        <v>1.46094557553</v>
      </c>
      <c r="N45" s="84">
        <f>M45+M45*'Sensitivity analysis'!$C$9</f>
        <v>1.3586793852429</v>
      </c>
      <c r="O45" s="84">
        <f>N45+N45*'Sensitivity analysis'!$C$9</f>
        <v>1.263571828275897</v>
      </c>
      <c r="P45" s="6"/>
      <c r="Q45" s="4"/>
      <c r="R45" s="4"/>
      <c r="S45" s="4"/>
      <c r="T45" s="4"/>
      <c r="U45" s="4"/>
      <c r="V45" s="4"/>
      <c r="W45" s="4"/>
      <c r="X45" s="4"/>
      <c r="Y45" s="4"/>
      <c r="Z45" s="4"/>
      <c r="AA45" s="4"/>
      <c r="AB45" s="4"/>
      <c r="AC45" s="4"/>
      <c r="AD45" s="4"/>
      <c r="AE45" s="4"/>
    </row>
    <row r="46" spans="2:31" x14ac:dyDescent="0.3">
      <c r="B46" s="376"/>
      <c r="C46" s="9" t="s">
        <v>115</v>
      </c>
      <c r="D46" s="67" t="s">
        <v>92</v>
      </c>
      <c r="E46" s="75" t="s">
        <v>92</v>
      </c>
      <c r="F46" s="68">
        <f t="shared" ref="F46:O46" si="12">F43+(F44-F45)</f>
        <v>14.27</v>
      </c>
      <c r="G46" s="68">
        <f t="shared" si="12"/>
        <v>0.69999999999999929</v>
      </c>
      <c r="H46" s="68">
        <f t="shared" si="12"/>
        <v>8.8000000000000007</v>
      </c>
      <c r="I46" s="68">
        <f t="shared" si="12"/>
        <v>8.1840000000000011</v>
      </c>
      <c r="J46" s="68">
        <f t="shared" si="12"/>
        <v>7.6111200000000006</v>
      </c>
      <c r="K46" s="68">
        <f t="shared" si="12"/>
        <v>7.0783416000000008</v>
      </c>
      <c r="L46" s="68">
        <f t="shared" si="12"/>
        <v>6.5828576880000007</v>
      </c>
      <c r="M46" s="68">
        <f t="shared" si="12"/>
        <v>6.1220576498400003</v>
      </c>
      <c r="N46" s="68">
        <f t="shared" si="12"/>
        <v>5.6935136143512004</v>
      </c>
      <c r="O46" s="126">
        <f t="shared" si="12"/>
        <v>5.2949676613466163</v>
      </c>
      <c r="P46" s="6"/>
      <c r="Q46" s="4"/>
      <c r="R46" s="4"/>
      <c r="S46" s="4"/>
      <c r="T46" s="4"/>
      <c r="U46" s="4"/>
      <c r="V46" s="4"/>
      <c r="W46" s="4"/>
      <c r="X46" s="4"/>
      <c r="Y46" s="4"/>
      <c r="Z46" s="4"/>
      <c r="AA46" s="4"/>
      <c r="AB46" s="4"/>
      <c r="AC46" s="4"/>
      <c r="AD46" s="4"/>
      <c r="AE46" s="4"/>
    </row>
    <row r="47" spans="2:31" x14ac:dyDescent="0.3">
      <c r="B47" s="376"/>
      <c r="C47" s="9" t="s">
        <v>93</v>
      </c>
      <c r="D47" s="67" t="s">
        <v>92</v>
      </c>
      <c r="E47" s="77" t="s">
        <v>92</v>
      </c>
      <c r="F47" s="68">
        <f t="shared" ref="F47:O47" si="13">U43</f>
        <v>-15.697000000000001</v>
      </c>
      <c r="G47" s="68">
        <f t="shared" si="13"/>
        <v>-6.4780000000000015</v>
      </c>
      <c r="H47" s="68">
        <f t="shared" si="13"/>
        <v>14.298999999999999</v>
      </c>
      <c r="I47" s="68">
        <f t="shared" si="13"/>
        <v>17.207599999999992</v>
      </c>
      <c r="J47" s="68">
        <f t="shared" si="13"/>
        <v>30.400167999999994</v>
      </c>
      <c r="K47" s="68">
        <f t="shared" si="13"/>
        <v>40.493176239999997</v>
      </c>
      <c r="L47" s="68">
        <f t="shared" si="13"/>
        <v>48.827423903199993</v>
      </c>
      <c r="M47" s="68">
        <f t="shared" si="13"/>
        <v>56.105214229976006</v>
      </c>
      <c r="N47" s="68">
        <f t="shared" si="13"/>
        <v>65.152069233877683</v>
      </c>
      <c r="O47" s="126">
        <f t="shared" si="13"/>
        <v>53.282414387506243</v>
      </c>
      <c r="P47" s="6"/>
      <c r="Q47" s="4"/>
      <c r="R47" s="4"/>
      <c r="S47" s="4"/>
      <c r="T47" s="4"/>
      <c r="U47" s="4"/>
      <c r="V47" s="4"/>
      <c r="W47" s="4"/>
      <c r="X47" s="4"/>
      <c r="Y47" s="4"/>
      <c r="Z47" s="4"/>
      <c r="AA47" s="4"/>
      <c r="AB47" s="4"/>
      <c r="AC47" s="4"/>
      <c r="AD47" s="4"/>
      <c r="AE47" s="4"/>
    </row>
    <row r="48" spans="2:31" x14ac:dyDescent="0.3">
      <c r="B48" s="376"/>
      <c r="C48" s="9" t="s">
        <v>126</v>
      </c>
      <c r="D48" s="67" t="s">
        <v>92</v>
      </c>
      <c r="E48" s="75" t="s">
        <v>92</v>
      </c>
      <c r="F48" s="68">
        <f>F47*'Model input'!E52</f>
        <v>-252.22798388028724</v>
      </c>
      <c r="G48" s="68">
        <f>G47*'Model input'!F52</f>
        <v>-156.12402441910868</v>
      </c>
      <c r="H48" s="68">
        <f>H47*'Model input'!G52</f>
        <v>374.536164392567</v>
      </c>
      <c r="I48" s="68">
        <f>I47*'Model input'!H52</f>
        <v>211.38649543411404</v>
      </c>
      <c r="J48" s="68">
        <f>J47*'Model input'!I52</f>
        <v>569.37602843608738</v>
      </c>
      <c r="K48" s="68">
        <f>K47*'Model input'!J52</f>
        <v>758.41172543170615</v>
      </c>
      <c r="L48" s="68">
        <f>L47*'Model input'!K52</f>
        <v>914.50694288167404</v>
      </c>
      <c r="M48" s="68">
        <f>M47*'Model input'!L52</f>
        <v>1050.8153788103932</v>
      </c>
      <c r="N48" s="68">
        <f>N47*'Model input'!M52</f>
        <v>1220.2572836037707</v>
      </c>
      <c r="O48" s="126">
        <f>O47*'Model input'!N52</f>
        <v>997.94611297688061</v>
      </c>
      <c r="P48" s="6"/>
      <c r="Q48" s="4"/>
      <c r="R48" s="4"/>
      <c r="S48" s="4"/>
      <c r="T48" s="4"/>
      <c r="U48" s="4"/>
      <c r="V48" s="4"/>
      <c r="W48" s="4"/>
      <c r="X48" s="4"/>
      <c r="Y48" s="4"/>
      <c r="Z48" s="4"/>
      <c r="AA48" s="4"/>
      <c r="AB48" s="4"/>
      <c r="AC48" s="4"/>
      <c r="AD48" s="4"/>
      <c r="AE48" s="4"/>
    </row>
    <row r="49" spans="2:31" x14ac:dyDescent="0.3">
      <c r="B49" s="376"/>
      <c r="C49" s="9" t="s">
        <v>117</v>
      </c>
      <c r="D49" s="67" t="s">
        <v>92</v>
      </c>
      <c r="E49" s="77" t="s">
        <v>92</v>
      </c>
      <c r="F49" s="68">
        <f>F47/'Model input'!$C$29</f>
        <v>-0.31394</v>
      </c>
      <c r="G49" s="68">
        <f>G47/'Model input'!$C$29</f>
        <v>-0.12956000000000004</v>
      </c>
      <c r="H49" s="68">
        <f>H47/'Model input'!$C$29</f>
        <v>0.28598000000000001</v>
      </c>
      <c r="I49" s="68">
        <f>I47/'Model input'!$C$29</f>
        <v>0.34415199999999985</v>
      </c>
      <c r="J49" s="68">
        <f>J47/'Model input'!$C$29</f>
        <v>0.60800335999999988</v>
      </c>
      <c r="K49" s="68">
        <f>K47/'Model input'!$C$29</f>
        <v>0.8098635247999999</v>
      </c>
      <c r="L49" s="68">
        <f>L47/'Model input'!$C$29</f>
        <v>0.9765484780639998</v>
      </c>
      <c r="M49" s="68">
        <f>M47/'Model input'!$C$29</f>
        <v>1.1221042845995202</v>
      </c>
      <c r="N49" s="68">
        <f>N47/'Model input'!$C$29</f>
        <v>1.3030413846775537</v>
      </c>
      <c r="O49" s="126">
        <f>O47/'Model input'!$C$29</f>
        <v>1.0656482877501248</v>
      </c>
      <c r="P49" s="6"/>
      <c r="Q49" s="4"/>
      <c r="R49" s="4"/>
      <c r="S49" s="4"/>
      <c r="T49" s="4"/>
      <c r="U49" s="4"/>
      <c r="V49" s="4"/>
      <c r="W49" s="4"/>
      <c r="X49" s="4"/>
      <c r="Y49" s="4"/>
      <c r="Z49" s="4"/>
      <c r="AA49" s="4"/>
      <c r="AB49" s="4"/>
      <c r="AC49" s="4"/>
      <c r="AD49" s="4"/>
      <c r="AE49" s="4"/>
    </row>
    <row r="50" spans="2:31" x14ac:dyDescent="0.3">
      <c r="B50" s="376"/>
      <c r="C50" s="9" t="s">
        <v>127</v>
      </c>
      <c r="D50" s="67" t="s">
        <v>119</v>
      </c>
      <c r="E50" s="75" t="s">
        <v>92</v>
      </c>
      <c r="F50" s="68">
        <f>F49*'Model input'!E59</f>
        <v>-15.930188455597087</v>
      </c>
      <c r="G50" s="68">
        <f>G49*'Model input'!F59</f>
        <v>-6.9237610829343854</v>
      </c>
      <c r="H50" s="68">
        <f>H49*'Model input'!G59</f>
        <v>13.932745315403494</v>
      </c>
      <c r="I50" s="68">
        <f>I49*'Model input'!H59</f>
        <v>16.693077062814062</v>
      </c>
      <c r="J50" s="68">
        <f>J49*'Model input'!I59</f>
        <v>29.491175245036739</v>
      </c>
      <c r="K50" s="68">
        <f>K49*'Model input'!J59</f>
        <v>39.282393331576259</v>
      </c>
      <c r="L50" s="68">
        <f>L49*'Model input'!K59</f>
        <v>47.367439386945726</v>
      </c>
      <c r="M50" s="68">
        <f>M49*'Model input'!L59</f>
        <v>54.427617143976043</v>
      </c>
      <c r="N50" s="68">
        <f>N49*'Model input'!M59</f>
        <v>63.203962930502676</v>
      </c>
      <c r="O50" s="126">
        <f>O49*'Model input'!N59</f>
        <v>51.689221591821919</v>
      </c>
      <c r="P50" s="6"/>
      <c r="Q50" s="4"/>
      <c r="R50" s="4"/>
      <c r="S50" s="4"/>
      <c r="T50" s="4"/>
      <c r="U50" s="4"/>
      <c r="V50" s="4"/>
      <c r="W50" s="4"/>
      <c r="X50" s="4"/>
      <c r="Y50" s="4"/>
      <c r="Z50" s="4"/>
      <c r="AA50" s="4"/>
      <c r="AB50" s="4"/>
      <c r="AC50" s="4"/>
      <c r="AD50" s="4"/>
      <c r="AE50" s="4"/>
    </row>
    <row r="51" spans="2:31" x14ac:dyDescent="0.3">
      <c r="B51" s="376"/>
      <c r="C51" s="9" t="s">
        <v>120</v>
      </c>
      <c r="D51" s="67" t="s">
        <v>92</v>
      </c>
      <c r="E51" s="77" t="s">
        <v>92</v>
      </c>
      <c r="F51" s="68">
        <f>F46*'Model input'!$C$34</f>
        <v>0.14269999999999999</v>
      </c>
      <c r="G51" s="68">
        <f>G46*'Model input'!$C$34</f>
        <v>6.9999999999999932E-3</v>
      </c>
      <c r="H51" s="68">
        <f>H46*'Model input'!$C$34</f>
        <v>8.8000000000000009E-2</v>
      </c>
      <c r="I51" s="68">
        <f>I46*'Model input'!$C$34</f>
        <v>8.184000000000001E-2</v>
      </c>
      <c r="J51" s="68">
        <f>J46*'Model input'!$C$34</f>
        <v>7.6111200000000004E-2</v>
      </c>
      <c r="K51" s="68">
        <f>K46*'Model input'!$C$34</f>
        <v>7.0783416000000016E-2</v>
      </c>
      <c r="L51" s="68">
        <f>L46*'Model input'!$C$34</f>
        <v>6.5828576880000003E-2</v>
      </c>
      <c r="M51" s="68">
        <f>M46*'Model input'!$C$34</f>
        <v>6.1220576498400008E-2</v>
      </c>
      <c r="N51" s="68">
        <f>N46*'Model input'!$C$34</f>
        <v>5.6935136143512005E-2</v>
      </c>
      <c r="O51" s="126">
        <f>O46*'Model input'!$C$34</f>
        <v>5.2949676613466168E-2</v>
      </c>
      <c r="P51" s="6"/>
      <c r="Q51" s="4"/>
      <c r="R51" s="4"/>
      <c r="S51" s="4"/>
      <c r="T51" s="4"/>
      <c r="U51" s="4"/>
      <c r="V51" s="4"/>
      <c r="W51" s="4"/>
      <c r="X51" s="4"/>
      <c r="Y51" s="4"/>
      <c r="Z51" s="4"/>
      <c r="AA51" s="4"/>
      <c r="AB51" s="4"/>
      <c r="AC51" s="4"/>
      <c r="AD51" s="4"/>
      <c r="AE51" s="4"/>
    </row>
    <row r="52" spans="2:31" x14ac:dyDescent="0.3">
      <c r="B52" s="376"/>
      <c r="C52" s="9" t="s">
        <v>132</v>
      </c>
      <c r="D52" s="67" t="s">
        <v>92</v>
      </c>
      <c r="E52" s="75" t="s">
        <v>92</v>
      </c>
      <c r="F52" s="69">
        <f>F51*'Model input'!E59</f>
        <v>7.2409947525441298</v>
      </c>
      <c r="G52" s="69">
        <f>G51*'Model input'!F59</f>
        <v>0.37408403504585241</v>
      </c>
      <c r="H52" s="69">
        <f>H51*'Model input'!G59</f>
        <v>4.2872983696604923</v>
      </c>
      <c r="I52" s="69">
        <f>I51*'Model input'!H59</f>
        <v>3.9696454671793386</v>
      </c>
      <c r="J52" s="69">
        <f>J51*'Model input'!I59</f>
        <v>3.6917702844767848</v>
      </c>
      <c r="K52" s="69">
        <f>K51*'Model input'!J59</f>
        <v>3.4333463645634104</v>
      </c>
      <c r="L52" s="69">
        <f>L51*'Model input'!K59</f>
        <v>3.1930121190439711</v>
      </c>
      <c r="M52" s="69">
        <f>M51*'Model input'!L59</f>
        <v>2.9695012707108934</v>
      </c>
      <c r="N52" s="69">
        <f>N51*'Model input'!M59</f>
        <v>2.7616361817611308</v>
      </c>
      <c r="O52" s="127">
        <f>O51*'Model input'!N59</f>
        <v>2.5683216490378515</v>
      </c>
      <c r="P52" s="6"/>
      <c r="Q52" s="4"/>
      <c r="R52" s="4"/>
      <c r="S52" s="4"/>
      <c r="T52" s="4"/>
      <c r="U52" s="4"/>
      <c r="V52" s="4"/>
      <c r="W52" s="4"/>
      <c r="X52" s="4"/>
      <c r="Y52" s="4"/>
      <c r="Z52" s="4"/>
      <c r="AA52" s="4"/>
      <c r="AB52" s="4"/>
      <c r="AC52" s="4"/>
      <c r="AD52" s="4"/>
      <c r="AE52" s="4"/>
    </row>
    <row r="53" spans="2:31" x14ac:dyDescent="0.3">
      <c r="B53" s="376"/>
      <c r="C53" s="103" t="s">
        <v>128</v>
      </c>
      <c r="D53" s="104" t="s">
        <v>92</v>
      </c>
      <c r="E53" s="104" t="s">
        <v>92</v>
      </c>
      <c r="F53" s="105">
        <f t="shared" ref="F53:O53" si="14">F48-F50-F52</f>
        <v>-243.53879017723429</v>
      </c>
      <c r="G53" s="105">
        <f t="shared" si="14"/>
        <v>-149.57434737122014</v>
      </c>
      <c r="H53" s="105">
        <f t="shared" si="14"/>
        <v>356.31612070750299</v>
      </c>
      <c r="I53" s="105">
        <f t="shared" si="14"/>
        <v>190.72377290412064</v>
      </c>
      <c r="J53" s="105">
        <f t="shared" si="14"/>
        <v>536.19308290657386</v>
      </c>
      <c r="K53" s="105">
        <f t="shared" si="14"/>
        <v>715.69598573556652</v>
      </c>
      <c r="L53" s="105">
        <f t="shared" si="14"/>
        <v>863.94649137568433</v>
      </c>
      <c r="M53" s="105">
        <f t="shared" si="14"/>
        <v>993.41826039570628</v>
      </c>
      <c r="N53" s="105">
        <f t="shared" si="14"/>
        <v>1154.2916844915069</v>
      </c>
      <c r="O53" s="128">
        <f t="shared" si="14"/>
        <v>943.68856973602078</v>
      </c>
      <c r="P53" s="6"/>
      <c r="Q53" s="4"/>
      <c r="R53" s="4"/>
      <c r="S53" s="4"/>
      <c r="T53" s="4"/>
      <c r="U53" s="4"/>
      <c r="V53" s="4"/>
      <c r="W53" s="4"/>
      <c r="X53" s="4"/>
      <c r="Y53" s="4"/>
      <c r="Z53" s="4"/>
      <c r="AA53" s="4"/>
      <c r="AB53" s="4"/>
      <c r="AC53" s="4"/>
      <c r="AD53" s="4"/>
      <c r="AE53" s="4"/>
    </row>
    <row r="54" spans="2:31" x14ac:dyDescent="0.3">
      <c r="B54" s="376"/>
      <c r="C54" s="103" t="s">
        <v>129</v>
      </c>
      <c r="D54" s="104" t="s">
        <v>92</v>
      </c>
      <c r="E54" s="104" t="s">
        <v>92</v>
      </c>
      <c r="F54" s="71">
        <f>F53/(1+'Model input'!$C$13)^(F33-2019)</f>
        <v>-221.39890016112207</v>
      </c>
      <c r="G54" s="71">
        <f>G53/(1+'Model input'!$C$13)^(G33-2019)</f>
        <v>-123.61516311671085</v>
      </c>
      <c r="H54" s="71">
        <f>H53/(1+'Model input'!$C$13)^(H33-2019)</f>
        <v>267.7055752873801</v>
      </c>
      <c r="I54" s="71">
        <f>I53/(1+'Model input'!$C$13)^(I33-2019)</f>
        <v>130.26690315150645</v>
      </c>
      <c r="J54" s="71">
        <f>J53/(1+'Model input'!$C$13)^(J33-2019)</f>
        <v>332.93371845351703</v>
      </c>
      <c r="K54" s="71">
        <f>K53/(1+'Model input'!$C$13)^(K33-2019)</f>
        <v>403.99172579186728</v>
      </c>
      <c r="L54" s="71">
        <f>L53/(1+'Model input'!$C$13)^(L33-2019)</f>
        <v>443.34115576636742</v>
      </c>
      <c r="M54" s="71">
        <f>M53/(1+'Model input'!$C$13)^(M33-2019)</f>
        <v>463.43695010971146</v>
      </c>
      <c r="N54" s="71">
        <f>N53/(1+'Model input'!$C$13)^(N33-2019)</f>
        <v>489.53235430001155</v>
      </c>
      <c r="O54" s="129">
        <f>O53/(1+'Model input'!$C$13)^(O33-2019)</f>
        <v>363.83279537307527</v>
      </c>
      <c r="P54" s="6"/>
      <c r="Q54" s="4"/>
      <c r="R54" s="4"/>
      <c r="S54" s="4"/>
      <c r="T54" s="4"/>
      <c r="U54" s="4"/>
      <c r="V54" s="4"/>
      <c r="W54" s="4"/>
      <c r="X54" s="4"/>
      <c r="Y54" s="4"/>
      <c r="Z54" s="4"/>
      <c r="AA54" s="4"/>
      <c r="AB54" s="4"/>
      <c r="AC54" s="4"/>
      <c r="AD54" s="4"/>
      <c r="AE54" s="4"/>
    </row>
    <row r="55" spans="2:31" x14ac:dyDescent="0.3">
      <c r="B55" s="376"/>
      <c r="C55" s="103" t="s">
        <v>104</v>
      </c>
      <c r="D55" s="106"/>
      <c r="E55" s="106"/>
      <c r="F55" s="71">
        <f>F54/('Model input'!$E$79/'Model input'!$G$79)</f>
        <v>-316.93175845301357</v>
      </c>
      <c r="G55" s="71">
        <f>G54/('Model input'!$E$79/'Model input'!$G$79)</f>
        <v>-176.95467768595043</v>
      </c>
      <c r="H55" s="71">
        <f>H54/('Model input'!$E$79/'Model input'!$G$79)</f>
        <v>383.21960344771293</v>
      </c>
      <c r="I55" s="71">
        <f>I54/('Model input'!$E$79/'Model input'!$G$79)</f>
        <v>186.47662049806866</v>
      </c>
      <c r="J55" s="71">
        <f>J54/('Model input'!$E$79/'Model input'!$G$79)</f>
        <v>476.59346438028354</v>
      </c>
      <c r="K55" s="71">
        <f>K54/('Model input'!$E$79/'Model input'!$G$79)</f>
        <v>578.31275567541309</v>
      </c>
      <c r="L55" s="71">
        <f>L54/('Model input'!$E$79/'Model input'!$G$79)</f>
        <v>634.64132834161092</v>
      </c>
      <c r="M55" s="71">
        <f>M54/('Model input'!$E$79/'Model input'!$G$79)</f>
        <v>663.40838831395558</v>
      </c>
      <c r="N55" s="71">
        <f>N54/('Model input'!$E$79/'Model input'!$G$79)</f>
        <v>700.76386899409977</v>
      </c>
      <c r="O55" s="129">
        <f>O54/('Model input'!$E$79/'Model input'!$G$79)</f>
        <v>520.82538592805895</v>
      </c>
      <c r="P55" s="6"/>
      <c r="Q55" s="4"/>
      <c r="R55" s="4"/>
      <c r="S55" s="4"/>
      <c r="T55" s="4"/>
      <c r="U55" s="4"/>
      <c r="V55" s="4"/>
      <c r="W55" s="4"/>
      <c r="X55" s="4"/>
      <c r="Y55" s="4"/>
      <c r="Z55" s="4"/>
      <c r="AA55" s="4"/>
      <c r="AB55" s="4"/>
      <c r="AC55" s="4"/>
      <c r="AD55" s="4"/>
      <c r="AE55" s="4"/>
    </row>
    <row r="56" spans="2:31" ht="15" thickBot="1" x14ac:dyDescent="0.35">
      <c r="B56" s="377"/>
      <c r="C56" s="107" t="s">
        <v>106</v>
      </c>
      <c r="D56" s="108" t="s">
        <v>92</v>
      </c>
      <c r="E56" s="108" t="s">
        <v>92</v>
      </c>
      <c r="F56" s="71">
        <f>F55*'Model input'!$E$84</f>
        <v>-5.5146125970824356</v>
      </c>
      <c r="G56" s="71">
        <f>G55*'Model input'!$E$84</f>
        <v>-3.0790113917355373</v>
      </c>
      <c r="H56" s="71">
        <f>H55*'Model input'!$E$84</f>
        <v>6.6680210999902041</v>
      </c>
      <c r="I56" s="71">
        <f>I55*'Model input'!$E$84</f>
        <v>3.2446931966663946</v>
      </c>
      <c r="J56" s="71">
        <f>J55*'Model input'!$E$84</f>
        <v>8.2927262802169324</v>
      </c>
      <c r="K56" s="71">
        <f>K55*'Model input'!$E$84</f>
        <v>10.062641948752187</v>
      </c>
      <c r="L56" s="71">
        <f>L55*'Model input'!$E$84</f>
        <v>11.042759113144029</v>
      </c>
      <c r="M56" s="71">
        <f>M55*'Model input'!$E$84</f>
        <v>11.543305956662826</v>
      </c>
      <c r="N56" s="71">
        <f>N55*'Model input'!$E$84</f>
        <v>12.193291320497336</v>
      </c>
      <c r="O56" s="129">
        <f>O55*'Model input'!$E$84</f>
        <v>9.0623617151482243</v>
      </c>
      <c r="P56" s="6"/>
      <c r="Q56" s="4"/>
      <c r="R56" s="4"/>
      <c r="S56" s="4"/>
      <c r="T56" s="4"/>
      <c r="U56" s="4"/>
      <c r="V56" s="4"/>
      <c r="W56" s="4"/>
      <c r="X56" s="4"/>
      <c r="Y56" s="4"/>
      <c r="Z56" s="4"/>
      <c r="AA56" s="4"/>
      <c r="AB56" s="4"/>
      <c r="AC56" s="4"/>
      <c r="AD56" s="4"/>
      <c r="AE56" s="4"/>
    </row>
    <row r="57" spans="2:31" collapsed="1" x14ac:dyDescent="0.3">
      <c r="B57" s="100" t="s">
        <v>133</v>
      </c>
      <c r="C57" s="97"/>
      <c r="D57" s="98" t="s">
        <v>92</v>
      </c>
      <c r="E57" s="98" t="s">
        <v>92</v>
      </c>
      <c r="F57" s="111">
        <f t="shared" ref="F57:O57" si="15">F39+F53</f>
        <v>-243.53879017723429</v>
      </c>
      <c r="G57" s="111">
        <f t="shared" si="15"/>
        <v>-68.520003014850175</v>
      </c>
      <c r="H57" s="111">
        <f t="shared" si="15"/>
        <v>445.06682848559421</v>
      </c>
      <c r="I57" s="111">
        <f t="shared" si="15"/>
        <v>227.93678651573447</v>
      </c>
      <c r="J57" s="111">
        <f t="shared" si="15"/>
        <v>590.51461140586343</v>
      </c>
      <c r="K57" s="111">
        <f t="shared" si="15"/>
        <v>766.21500723990584</v>
      </c>
      <c r="L57" s="111">
        <f t="shared" si="15"/>
        <v>910.92918137471986</v>
      </c>
      <c r="M57" s="111">
        <f t="shared" si="15"/>
        <v>1037.1121620948093</v>
      </c>
      <c r="N57" s="111">
        <f t="shared" si="15"/>
        <v>1194.9270130716727</v>
      </c>
      <c r="O57" s="130">
        <f t="shared" si="15"/>
        <v>981.47942531557499</v>
      </c>
      <c r="P57" s="6"/>
      <c r="Q57" s="4"/>
      <c r="R57" s="4"/>
      <c r="S57" s="4"/>
      <c r="T57" s="4"/>
      <c r="U57" s="4"/>
      <c r="V57" s="4"/>
      <c r="W57" s="4"/>
      <c r="X57" s="4"/>
      <c r="Y57" s="4"/>
      <c r="Z57" s="4"/>
      <c r="AA57" s="4"/>
      <c r="AB57" s="4"/>
      <c r="AC57" s="4"/>
      <c r="AD57" s="4"/>
      <c r="AE57" s="4"/>
    </row>
    <row r="58" spans="2:31" x14ac:dyDescent="0.3">
      <c r="B58" s="100" t="s">
        <v>134</v>
      </c>
      <c r="C58" s="100"/>
      <c r="D58" s="101" t="s">
        <v>92</v>
      </c>
      <c r="E58" s="101" t="s">
        <v>92</v>
      </c>
      <c r="F58" s="112">
        <f t="shared" ref="F58:O58" si="16">F40+F54</f>
        <v>-221.39890016112207</v>
      </c>
      <c r="G58" s="112">
        <f t="shared" si="16"/>
        <v>-56.628101665165431</v>
      </c>
      <c r="H58" s="112">
        <f t="shared" si="16"/>
        <v>334.38529563155078</v>
      </c>
      <c r="I58" s="112">
        <f t="shared" si="16"/>
        <v>155.68389216292221</v>
      </c>
      <c r="J58" s="112">
        <f t="shared" si="16"/>
        <v>366.66311379989151</v>
      </c>
      <c r="K58" s="112">
        <f t="shared" si="16"/>
        <v>432.50839640289297</v>
      </c>
      <c r="L58" s="112">
        <f t="shared" si="16"/>
        <v>467.45070455568913</v>
      </c>
      <c r="M58" s="112">
        <f t="shared" si="16"/>
        <v>483.82047772250166</v>
      </c>
      <c r="N58" s="112">
        <f t="shared" si="16"/>
        <v>506.76570037264321</v>
      </c>
      <c r="O58" s="131">
        <f t="shared" si="16"/>
        <v>378.40280614357295</v>
      </c>
      <c r="P58" s="6"/>
      <c r="Q58" s="4"/>
      <c r="R58" s="4"/>
      <c r="S58" s="4"/>
      <c r="T58" s="4"/>
      <c r="U58" s="4"/>
      <c r="V58" s="4"/>
      <c r="W58" s="4"/>
      <c r="X58" s="4"/>
      <c r="Y58" s="4"/>
      <c r="Z58" s="4"/>
      <c r="AA58" s="4"/>
      <c r="AB58" s="4"/>
      <c r="AC58" s="4"/>
      <c r="AD58" s="4"/>
      <c r="AE58" s="4"/>
    </row>
    <row r="59" spans="2:31" ht="15" customHeight="1" thickBot="1" x14ac:dyDescent="0.4">
      <c r="B59" s="113" t="s">
        <v>124</v>
      </c>
      <c r="C59" s="113"/>
      <c r="D59" s="114" t="s">
        <v>92</v>
      </c>
      <c r="E59" s="114" t="s">
        <v>92</v>
      </c>
      <c r="F59" s="115">
        <f t="shared" ref="F59:O59" si="17">F42+F56</f>
        <v>-5.5146125970824356</v>
      </c>
      <c r="G59" s="115">
        <f t="shared" si="17"/>
        <v>-1.4104950050082647</v>
      </c>
      <c r="H59" s="115">
        <f t="shared" si="17"/>
        <v>8.3288822222103072</v>
      </c>
      <c r="I59" s="115">
        <f t="shared" si="17"/>
        <v>3.8777805682850195</v>
      </c>
      <c r="J59" s="115">
        <f t="shared" si="17"/>
        <v>9.1328593989168283</v>
      </c>
      <c r="K59" s="115">
        <f t="shared" si="17"/>
        <v>10.772936312743917</v>
      </c>
      <c r="L59" s="115">
        <f t="shared" si="17"/>
        <v>11.643280711791583</v>
      </c>
      <c r="M59" s="115">
        <f t="shared" si="17"/>
        <v>12.051019671883029</v>
      </c>
      <c r="N59" s="115">
        <f t="shared" si="17"/>
        <v>12.622540188819872</v>
      </c>
      <c r="O59" s="120">
        <f t="shared" si="17"/>
        <v>9.4252721220027329</v>
      </c>
      <c r="P59" s="132"/>
      <c r="Q59" s="82"/>
      <c r="R59" s="82"/>
      <c r="S59" s="82"/>
      <c r="T59" s="82"/>
      <c r="U59" s="82"/>
      <c r="V59" s="82"/>
      <c r="W59" s="82"/>
      <c r="X59" s="82"/>
      <c r="Y59" s="82"/>
      <c r="Z59" s="82"/>
      <c r="AA59" s="82"/>
      <c r="AB59" s="82"/>
      <c r="AC59" s="82"/>
      <c r="AD59" s="82"/>
      <c r="AE59" s="82"/>
    </row>
    <row r="60" spans="2:31" x14ac:dyDescent="0.3">
      <c r="B60" s="335"/>
      <c r="C60" s="4"/>
      <c r="D60" s="4"/>
      <c r="E60" s="4"/>
      <c r="F60" s="4"/>
      <c r="G60" s="4"/>
      <c r="H60" s="4"/>
      <c r="I60" s="4"/>
      <c r="J60" s="4"/>
      <c r="K60" s="4"/>
      <c r="L60" s="4"/>
      <c r="M60" s="4"/>
      <c r="N60" s="4"/>
      <c r="O60" s="4"/>
      <c r="P60" s="6"/>
      <c r="Q60" s="4"/>
      <c r="R60" s="4"/>
      <c r="S60" s="4"/>
      <c r="T60" s="4"/>
      <c r="U60" s="4"/>
      <c r="V60" s="4"/>
      <c r="W60" s="4"/>
      <c r="X60" s="4"/>
      <c r="Y60" s="4"/>
      <c r="Z60" s="4"/>
      <c r="AA60" s="4"/>
      <c r="AB60" s="4"/>
      <c r="AC60" s="4"/>
      <c r="AD60" s="4"/>
      <c r="AE60" s="4"/>
    </row>
    <row r="61" spans="2:31" x14ac:dyDescent="0.3">
      <c r="B61" s="4"/>
      <c r="C61" s="4"/>
      <c r="D61" s="4"/>
      <c r="E61" s="4"/>
      <c r="F61" s="64"/>
      <c r="G61" s="4"/>
      <c r="H61" s="4"/>
      <c r="I61" s="4"/>
      <c r="J61" s="4"/>
      <c r="K61" s="4"/>
      <c r="L61" s="4"/>
      <c r="M61" s="4"/>
      <c r="N61" s="4"/>
      <c r="O61" s="4"/>
      <c r="P61" s="6"/>
      <c r="Q61" s="4"/>
      <c r="R61" s="4"/>
      <c r="S61" s="4"/>
      <c r="T61" s="4"/>
      <c r="U61" s="4"/>
      <c r="V61" s="4"/>
      <c r="W61" s="4"/>
      <c r="X61" s="4"/>
      <c r="Y61" s="4"/>
      <c r="Z61" s="4"/>
      <c r="AA61" s="4"/>
      <c r="AB61" s="4"/>
      <c r="AC61" s="4"/>
      <c r="AD61" s="4"/>
      <c r="AE61" s="4"/>
    </row>
    <row r="62" spans="2:31" ht="18" x14ac:dyDescent="0.35">
      <c r="B62" s="331" t="s">
        <v>223</v>
      </c>
      <c r="C62" s="27"/>
      <c r="D62" s="28"/>
      <c r="E62" s="29"/>
      <c r="F62" s="29"/>
      <c r="G62" s="29"/>
      <c r="H62" s="29"/>
      <c r="I62" s="29"/>
      <c r="J62" s="29"/>
      <c r="K62" s="29"/>
      <c r="L62" s="29"/>
      <c r="M62" s="29"/>
      <c r="N62" s="29"/>
      <c r="O62" s="29"/>
      <c r="P62" s="6"/>
      <c r="Q62" s="4"/>
      <c r="R62" s="4"/>
      <c r="S62" s="4"/>
      <c r="T62" s="4"/>
      <c r="U62" s="4"/>
      <c r="V62" s="4"/>
      <c r="W62" s="4"/>
      <c r="X62" s="4"/>
      <c r="Y62" s="4"/>
      <c r="Z62" s="4"/>
      <c r="AA62" s="4"/>
      <c r="AB62" s="4"/>
      <c r="AC62" s="4"/>
      <c r="AD62" s="4"/>
      <c r="AE62" s="4"/>
    </row>
    <row r="63" spans="2:31" x14ac:dyDescent="0.3">
      <c r="B63" s="5"/>
      <c r="C63" s="4"/>
      <c r="D63" s="4"/>
      <c r="E63" s="4"/>
      <c r="F63" s="4"/>
      <c r="G63" s="4"/>
      <c r="H63" s="4"/>
      <c r="I63" s="4"/>
      <c r="J63" s="4"/>
      <c r="K63" s="4"/>
      <c r="L63" s="4"/>
      <c r="M63" s="4"/>
      <c r="N63" s="4"/>
      <c r="O63" s="4"/>
      <c r="P63" s="6"/>
      <c r="Q63" s="4"/>
      <c r="R63" s="4"/>
      <c r="S63" s="4"/>
      <c r="T63" s="4"/>
      <c r="U63" s="4"/>
      <c r="V63" s="4"/>
      <c r="W63" s="4"/>
      <c r="X63" s="4"/>
      <c r="Y63" s="4"/>
      <c r="Z63" s="4"/>
      <c r="AA63" s="4"/>
      <c r="AB63" s="4"/>
      <c r="AC63" s="4"/>
      <c r="AD63" s="4"/>
      <c r="AE63" s="4"/>
    </row>
    <row r="64" spans="2:31" ht="15.6" x14ac:dyDescent="0.3">
      <c r="B64" s="337" t="s">
        <v>88</v>
      </c>
      <c r="C64" s="336"/>
      <c r="D64" s="336">
        <v>2018</v>
      </c>
      <c r="E64" s="336">
        <v>2019</v>
      </c>
      <c r="F64" s="336">
        <v>2020</v>
      </c>
      <c r="G64" s="336">
        <v>2021</v>
      </c>
      <c r="H64" s="336">
        <v>2022</v>
      </c>
      <c r="I64" s="336">
        <v>2023</v>
      </c>
      <c r="J64" s="336">
        <v>2024</v>
      </c>
      <c r="K64" s="336">
        <v>2025</v>
      </c>
      <c r="L64" s="336">
        <v>2026</v>
      </c>
      <c r="M64" s="336">
        <v>2027</v>
      </c>
      <c r="N64" s="336">
        <v>2028</v>
      </c>
      <c r="O64" s="336">
        <v>2029</v>
      </c>
      <c r="P64" s="6"/>
      <c r="Q64" s="4"/>
      <c r="R64" s="4"/>
      <c r="S64" s="4"/>
      <c r="T64" s="4"/>
      <c r="U64" s="4"/>
      <c r="V64" s="4"/>
      <c r="W64" s="4"/>
      <c r="X64" s="4"/>
      <c r="Y64" s="4"/>
      <c r="Z64" s="4"/>
      <c r="AA64" s="4"/>
      <c r="AB64" s="4"/>
      <c r="AC64" s="4"/>
      <c r="AD64" s="4"/>
      <c r="AE64" s="4"/>
    </row>
    <row r="65" spans="2:31" x14ac:dyDescent="0.3">
      <c r="B65" s="9" t="s">
        <v>64</v>
      </c>
      <c r="C65" s="9" t="s">
        <v>135</v>
      </c>
      <c r="D65" s="67" t="s">
        <v>92</v>
      </c>
      <c r="E65" s="78">
        <f>E30*'Model input'!$C$71</f>
        <v>-66077.668031116293</v>
      </c>
      <c r="F65" s="78">
        <f>F30*'Model input'!$C$71</f>
        <v>5431.7646631175066</v>
      </c>
      <c r="G65" s="78">
        <f>G30*'Model input'!$C$71</f>
        <v>173434.81038957456</v>
      </c>
      <c r="H65" s="78">
        <f>H30*'Model input'!$C$71</f>
        <v>221845.55137582161</v>
      </c>
      <c r="I65" s="78">
        <f>I30*'Model input'!$C$71</f>
        <v>91804.855752919175</v>
      </c>
      <c r="J65" s="78">
        <f>J30*'Model input'!$C$71</f>
        <v>115994.97757138449</v>
      </c>
      <c r="K65" s="78">
        <f>K30*'Model input'!$C$71</f>
        <v>91737.413497143221</v>
      </c>
      <c r="L65" s="78">
        <f>L30*'Model input'!$C$71</f>
        <v>80145.658053336287</v>
      </c>
      <c r="M65" s="78">
        <f>M30*'Model input'!$C$71</f>
        <v>83705.031587667545</v>
      </c>
      <c r="N65" s="78">
        <f>N30*'Model input'!$C$71</f>
        <v>75468.435866202402</v>
      </c>
      <c r="O65" s="121">
        <f>O30*'Model input'!$C$71</f>
        <v>0</v>
      </c>
      <c r="P65" s="6"/>
      <c r="Q65" s="4"/>
      <c r="R65" s="4"/>
      <c r="S65" s="4"/>
      <c r="T65" s="4"/>
      <c r="U65" s="4"/>
      <c r="V65" s="4"/>
      <c r="W65" s="4"/>
      <c r="X65" s="4"/>
      <c r="Y65" s="4"/>
      <c r="Z65" s="4"/>
      <c r="AA65" s="4"/>
      <c r="AB65" s="4"/>
      <c r="AC65" s="4"/>
      <c r="AD65" s="4"/>
      <c r="AE65" s="4"/>
    </row>
    <row r="66" spans="2:31" ht="15" customHeight="1" x14ac:dyDescent="0.35">
      <c r="B66" s="9" t="s">
        <v>68</v>
      </c>
      <c r="C66" s="9" t="s">
        <v>135</v>
      </c>
      <c r="D66" s="67" t="s">
        <v>92</v>
      </c>
      <c r="E66" s="79">
        <v>0</v>
      </c>
      <c r="F66" s="78">
        <f>F59*'Model input'!$D$71</f>
        <v>-110981.57851628402</v>
      </c>
      <c r="G66" s="78">
        <f>G59*'Model input'!$D$71</f>
        <v>-28386.211975791328</v>
      </c>
      <c r="H66" s="78">
        <f>H59*'Model input'!$D$71</f>
        <v>167618.75472198243</v>
      </c>
      <c r="I66" s="78">
        <f>I59*'Model input'!$D$71</f>
        <v>78040.333936736017</v>
      </c>
      <c r="J66" s="78">
        <f>J59*'Model input'!$D$71</f>
        <v>183798.79540320116</v>
      </c>
      <c r="K66" s="78">
        <f>K59*'Model input'!$D$71</f>
        <v>216805.34329397135</v>
      </c>
      <c r="L66" s="78">
        <f>L59*'Model input'!$D$71</f>
        <v>234321.02432480559</v>
      </c>
      <c r="M66" s="78">
        <f>M59*'Model input'!$D$71</f>
        <v>242526.77089664596</v>
      </c>
      <c r="N66" s="78">
        <f>N59*'Model input'!$D$71</f>
        <v>254028.62129999994</v>
      </c>
      <c r="O66" s="121">
        <f>O59*'Model input'!$D$71</f>
        <v>189683.601455305</v>
      </c>
      <c r="P66" s="132"/>
      <c r="Q66" s="82"/>
      <c r="R66" s="82"/>
      <c r="S66" s="82"/>
      <c r="T66" s="82"/>
      <c r="U66" s="82"/>
      <c r="V66" s="82"/>
      <c r="W66" s="82"/>
      <c r="X66" s="82"/>
      <c r="Y66" s="82"/>
      <c r="Z66" s="82"/>
      <c r="AA66" s="82"/>
      <c r="AB66" s="82"/>
      <c r="AC66" s="82"/>
      <c r="AD66" s="82"/>
      <c r="AE66" s="82"/>
    </row>
    <row r="67" spans="2:31" x14ac:dyDescent="0.3">
      <c r="B67" s="9" t="s">
        <v>69</v>
      </c>
      <c r="C67" s="9" t="s">
        <v>135</v>
      </c>
      <c r="D67" s="67" t="s">
        <v>92</v>
      </c>
      <c r="E67" s="78">
        <f t="shared" ref="E67:O67" si="18">E65+E66</f>
        <v>-66077.668031116293</v>
      </c>
      <c r="F67" s="78">
        <f t="shared" si="18"/>
        <v>-105549.81385316652</v>
      </c>
      <c r="G67" s="78">
        <f t="shared" si="18"/>
        <v>145048.59841378324</v>
      </c>
      <c r="H67" s="78">
        <f t="shared" si="18"/>
        <v>389464.30609780404</v>
      </c>
      <c r="I67" s="78">
        <f t="shared" si="18"/>
        <v>169845.18968965521</v>
      </c>
      <c r="J67" s="78">
        <f t="shared" si="18"/>
        <v>299793.77297458565</v>
      </c>
      <c r="K67" s="78">
        <f t="shared" si="18"/>
        <v>308542.75679111457</v>
      </c>
      <c r="L67" s="78">
        <f t="shared" si="18"/>
        <v>314466.68237814191</v>
      </c>
      <c r="M67" s="78">
        <f t="shared" si="18"/>
        <v>326231.80248431349</v>
      </c>
      <c r="N67" s="78">
        <f t="shared" si="18"/>
        <v>329497.05716620234</v>
      </c>
      <c r="O67" s="121">
        <f t="shared" si="18"/>
        <v>189683.601455305</v>
      </c>
      <c r="P67" s="6"/>
      <c r="Q67" s="4"/>
      <c r="R67" s="4"/>
      <c r="S67" s="4"/>
      <c r="T67" s="4"/>
      <c r="U67" s="4"/>
      <c r="V67" s="4"/>
      <c r="W67" s="4"/>
      <c r="X67" s="4"/>
      <c r="Y67" s="4"/>
      <c r="Z67" s="4"/>
      <c r="AA67" s="4"/>
      <c r="AB67" s="4"/>
      <c r="AC67" s="4"/>
      <c r="AD67" s="4"/>
      <c r="AE67" s="4"/>
    </row>
    <row r="68" spans="2:31" x14ac:dyDescent="0.3">
      <c r="B68" s="334"/>
      <c r="C68" s="4"/>
      <c r="D68" s="4"/>
      <c r="E68" s="4"/>
      <c r="F68" s="4"/>
      <c r="G68" s="4"/>
      <c r="H68" s="4"/>
      <c r="I68" s="4"/>
      <c r="J68" s="4"/>
      <c r="K68" s="4"/>
      <c r="L68" s="4"/>
      <c r="M68" s="4"/>
      <c r="N68" s="4"/>
      <c r="O68" s="4"/>
      <c r="P68" s="6"/>
      <c r="Q68" s="4"/>
      <c r="R68" s="4"/>
      <c r="S68" s="4"/>
      <c r="T68" s="4"/>
      <c r="U68" s="4"/>
      <c r="V68" s="4"/>
      <c r="W68" s="4"/>
      <c r="X68" s="4"/>
      <c r="Y68" s="4"/>
      <c r="Z68" s="4"/>
      <c r="AA68" s="4"/>
      <c r="AB68" s="4"/>
      <c r="AC68" s="4"/>
      <c r="AD68" s="4"/>
      <c r="AE68" s="4"/>
    </row>
    <row r="69" spans="2:31" x14ac:dyDescent="0.3">
      <c r="B69" s="4"/>
      <c r="C69" s="4"/>
      <c r="D69" s="4"/>
      <c r="E69" s="11"/>
      <c r="F69" s="4"/>
      <c r="G69" s="4"/>
      <c r="H69" s="4"/>
      <c r="I69" s="4"/>
      <c r="J69" s="4"/>
      <c r="K69" s="4"/>
      <c r="L69" s="4"/>
      <c r="M69" s="4"/>
      <c r="N69" s="4"/>
      <c r="O69" s="4"/>
      <c r="P69" s="6"/>
      <c r="Q69" s="4"/>
      <c r="R69" s="4"/>
      <c r="S69" s="4"/>
      <c r="T69" s="4"/>
      <c r="U69" s="4"/>
      <c r="V69" s="4"/>
      <c r="W69" s="4"/>
      <c r="X69" s="4"/>
      <c r="Y69" s="4"/>
      <c r="Z69" s="4"/>
      <c r="AA69" s="4"/>
      <c r="AB69" s="4"/>
      <c r="AC69" s="4"/>
      <c r="AD69" s="4"/>
      <c r="AE69" s="4"/>
    </row>
    <row r="70" spans="2:31" ht="18" x14ac:dyDescent="0.35">
      <c r="B70" s="331" t="s">
        <v>224</v>
      </c>
      <c r="C70" s="27"/>
      <c r="D70" s="28"/>
      <c r="E70" s="29"/>
      <c r="F70" s="29"/>
      <c r="G70" s="29"/>
      <c r="H70" s="29"/>
      <c r="I70" s="29"/>
      <c r="J70" s="29"/>
      <c r="K70" s="29"/>
      <c r="L70" s="29"/>
      <c r="M70" s="29"/>
      <c r="N70" s="29"/>
      <c r="O70" s="29"/>
      <c r="P70" s="6"/>
      <c r="Q70" s="4"/>
      <c r="R70" s="4"/>
      <c r="S70" s="4"/>
      <c r="T70" s="4"/>
      <c r="U70" s="4"/>
      <c r="V70" s="4"/>
      <c r="W70" s="4"/>
      <c r="X70" s="4"/>
      <c r="Y70" s="4"/>
      <c r="Z70" s="4"/>
      <c r="AA70" s="4"/>
      <c r="AB70" s="4"/>
      <c r="AC70" s="4"/>
      <c r="AD70" s="4"/>
      <c r="AE70" s="4"/>
    </row>
    <row r="71" spans="2:31" ht="15.6" x14ac:dyDescent="0.3">
      <c r="B71" s="133"/>
      <c r="C71" s="4"/>
      <c r="D71" s="4"/>
      <c r="E71" s="4"/>
      <c r="F71" s="4"/>
      <c r="G71" s="4"/>
      <c r="H71" s="4"/>
      <c r="I71" s="4"/>
      <c r="J71" s="4"/>
      <c r="K71" s="4"/>
      <c r="L71" s="4"/>
      <c r="M71" s="4"/>
      <c r="N71" s="4"/>
      <c r="O71" s="4"/>
      <c r="P71" s="6"/>
      <c r="Q71" s="4"/>
      <c r="R71" s="4"/>
      <c r="S71" s="4"/>
      <c r="T71" s="4"/>
      <c r="U71" s="4"/>
      <c r="V71" s="4"/>
      <c r="W71" s="4"/>
      <c r="X71" s="4"/>
      <c r="Y71" s="4"/>
      <c r="Z71" s="4"/>
      <c r="AA71" s="4"/>
      <c r="AB71" s="4"/>
      <c r="AC71" s="4"/>
      <c r="AD71" s="4"/>
      <c r="AE71" s="4"/>
    </row>
    <row r="72" spans="2:31" ht="21" x14ac:dyDescent="0.4">
      <c r="B72" s="332" t="s">
        <v>64</v>
      </c>
      <c r="C72" s="4"/>
      <c r="D72" s="4"/>
      <c r="E72" s="4"/>
      <c r="F72" s="4"/>
      <c r="G72" s="4"/>
      <c r="H72" s="4"/>
      <c r="I72" s="4"/>
      <c r="J72" s="4"/>
      <c r="K72" s="4"/>
      <c r="L72" s="4"/>
      <c r="M72" s="4"/>
      <c r="N72" s="4"/>
      <c r="O72" s="4"/>
      <c r="P72" s="6"/>
      <c r="Q72" s="4"/>
      <c r="R72" s="4"/>
      <c r="S72" s="4"/>
      <c r="T72" s="4"/>
      <c r="U72" s="4"/>
      <c r="V72" s="4"/>
      <c r="W72" s="4"/>
      <c r="X72" s="4"/>
      <c r="Y72" s="4"/>
      <c r="Z72" s="4"/>
      <c r="AA72" s="4"/>
      <c r="AB72" s="4"/>
      <c r="AC72" s="4"/>
      <c r="AD72" s="4"/>
      <c r="AE72" s="4"/>
    </row>
    <row r="73" spans="2:31" ht="15.6" x14ac:dyDescent="0.3">
      <c r="B73" s="337" t="s">
        <v>88</v>
      </c>
      <c r="C73" s="336">
        <v>2018</v>
      </c>
      <c r="D73" s="336">
        <v>2019</v>
      </c>
      <c r="E73" s="336">
        <v>2020</v>
      </c>
      <c r="F73" s="336">
        <v>2021</v>
      </c>
      <c r="G73" s="336">
        <v>2022</v>
      </c>
      <c r="H73" s="336">
        <v>2023</v>
      </c>
      <c r="I73" s="4"/>
      <c r="J73" s="4"/>
      <c r="K73" s="4"/>
      <c r="L73" s="4"/>
      <c r="M73" s="4"/>
      <c r="N73" s="4"/>
      <c r="O73" s="4"/>
      <c r="P73" s="6"/>
      <c r="Q73" s="4"/>
      <c r="R73" s="4"/>
      <c r="S73" s="4"/>
      <c r="T73" s="4"/>
      <c r="U73" s="4"/>
      <c r="V73" s="4"/>
      <c r="W73" s="4"/>
      <c r="X73" s="4"/>
      <c r="Y73" s="4"/>
      <c r="Z73" s="4"/>
      <c r="AA73" s="4"/>
      <c r="AB73" s="4"/>
      <c r="AC73" s="4"/>
      <c r="AD73" s="4"/>
      <c r="AE73" s="4"/>
    </row>
    <row r="74" spans="2:31" x14ac:dyDescent="0.3">
      <c r="B74" s="9" t="s">
        <v>136</v>
      </c>
      <c r="C74" s="338">
        <f>70326-70326*'Sensitivity analysis'!C10</f>
        <v>58370.58</v>
      </c>
      <c r="D74" s="338">
        <f>112755-112775*'Sensitivity analysis'!C10</f>
        <v>93583.25</v>
      </c>
      <c r="E74" s="338">
        <f>703259-703259*'Sensitivity analysis'!C10</f>
        <v>583704.97</v>
      </c>
      <c r="F74" s="338">
        <f>(298066-196297)-(298066-196297)*'Sensitivity analysis'!C10</f>
        <v>84468.27</v>
      </c>
      <c r="G74" s="338">
        <f>69989-69989*'Sensitivity analysis'!C10</f>
        <v>58090.869999999995</v>
      </c>
      <c r="H74" s="338">
        <v>0</v>
      </c>
      <c r="I74" s="4"/>
      <c r="J74" s="4"/>
      <c r="K74" s="4"/>
      <c r="L74" s="4"/>
      <c r="M74" s="4"/>
      <c r="N74" s="4"/>
      <c r="O74" s="4"/>
      <c r="P74" s="6"/>
      <c r="Q74" s="4"/>
      <c r="R74" s="4"/>
      <c r="S74" s="4"/>
      <c r="T74" s="4"/>
      <c r="U74" s="4"/>
      <c r="V74" s="4"/>
      <c r="W74" s="4"/>
      <c r="X74" s="4"/>
      <c r="Y74" s="4"/>
      <c r="Z74" s="4"/>
      <c r="AA74" s="4"/>
      <c r="AB74" s="4"/>
      <c r="AC74" s="4"/>
      <c r="AD74" s="4"/>
      <c r="AE74" s="4"/>
    </row>
    <row r="75" spans="2:31" x14ac:dyDescent="0.3">
      <c r="B75" s="9" t="s">
        <v>137</v>
      </c>
      <c r="C75" s="116">
        <f>C74</f>
        <v>58370.58</v>
      </c>
      <c r="D75" s="116">
        <f>D74/('Model input'!E78/'Model input'!$D$78)</f>
        <v>92064.015096798394</v>
      </c>
      <c r="E75" s="116">
        <f>E74/('Model input'!F78/'Model input'!$D$78)</f>
        <v>566697.0234362809</v>
      </c>
      <c r="F75" s="116">
        <f>F74/('Model input'!G78/'Model input'!$D$78)</f>
        <v>78425.950391841849</v>
      </c>
      <c r="G75" s="116">
        <f>G74/('Model input'!H78/'Model input'!$D$78)</f>
        <v>50346.306603375524</v>
      </c>
      <c r="H75" s="116">
        <f>H74/('Model input'!I78/'Model input'!$D$78)</f>
        <v>0</v>
      </c>
      <c r="I75" s="4"/>
      <c r="J75" s="4"/>
      <c r="K75" s="4"/>
      <c r="L75" s="4"/>
      <c r="M75" s="4"/>
      <c r="N75" s="4"/>
      <c r="O75" s="4"/>
      <c r="P75" s="6"/>
      <c r="Q75" s="4"/>
      <c r="R75" s="4"/>
      <c r="S75" s="4"/>
      <c r="T75" s="4"/>
      <c r="U75" s="4"/>
      <c r="V75" s="4"/>
      <c r="W75" s="4"/>
      <c r="X75" s="4"/>
      <c r="Y75" s="4"/>
      <c r="Z75" s="4"/>
      <c r="AA75" s="4"/>
      <c r="AB75" s="4"/>
      <c r="AC75" s="4"/>
      <c r="AD75" s="4"/>
      <c r="AE75" s="4"/>
    </row>
    <row r="76" spans="2:31" x14ac:dyDescent="0.3">
      <c r="B76" s="9" t="s">
        <v>138</v>
      </c>
      <c r="C76" s="116">
        <f>C75/(1+'Model input'!$C$13)^(C73-2018)</f>
        <v>58370.58</v>
      </c>
      <c r="D76" s="116">
        <f>D75/(1+'Model input'!$C$13)^(D73-2018)</f>
        <v>83694.559178907628</v>
      </c>
      <c r="E76" s="116">
        <f>E75/(1+'Model input'!$C$13)^(E73-2018)</f>
        <v>468344.64746800065</v>
      </c>
      <c r="F76" s="116">
        <f>F75/(1+'Model input'!$C$13)^(F73-2018)</f>
        <v>58922.577304163657</v>
      </c>
      <c r="G76" s="116">
        <f>G75/(1+'Model input'!$C$13)^(G73-2018)</f>
        <v>34387.20483804078</v>
      </c>
      <c r="H76" s="116">
        <f>H75/(1+'Model input'!$C$13)^(H73-2018)</f>
        <v>0</v>
      </c>
      <c r="I76" s="4"/>
      <c r="J76" s="4"/>
      <c r="K76" s="4"/>
      <c r="L76" s="4"/>
      <c r="M76" s="4"/>
      <c r="N76" s="4"/>
      <c r="O76" s="4"/>
      <c r="P76" s="6"/>
      <c r="Q76" s="4"/>
      <c r="R76" s="4"/>
      <c r="S76" s="4"/>
      <c r="T76" s="4"/>
      <c r="U76" s="4"/>
      <c r="V76" s="4"/>
      <c r="W76" s="4"/>
      <c r="X76" s="4"/>
      <c r="Y76" s="4"/>
      <c r="Z76" s="4"/>
      <c r="AA76" s="4"/>
      <c r="AB76" s="4"/>
      <c r="AC76" s="4"/>
      <c r="AD76" s="4"/>
      <c r="AE76" s="4"/>
    </row>
    <row r="77" spans="2:31" x14ac:dyDescent="0.3">
      <c r="B77" s="9" t="s">
        <v>139</v>
      </c>
      <c r="C77" s="116">
        <f>C76/('Model input'!$D$78/'Model input'!$G$78)</f>
        <v>62867.735575563835</v>
      </c>
      <c r="D77" s="116">
        <f>D76/('Model input'!$D$78/'Model input'!$G$78)</f>
        <v>90142.798231111345</v>
      </c>
      <c r="E77" s="116">
        <f>E76/('Model input'!$D$78/'Model input'!$G$78)</f>
        <v>504428.21461169177</v>
      </c>
      <c r="F77" s="116">
        <f>F76/('Model input'!$D$78/'Model input'!$G$78)</f>
        <v>63462.261457550696</v>
      </c>
      <c r="G77" s="116">
        <f>G76/('Model input'!$D$78/'Model input'!$G$78)</f>
        <v>37036.563641147593</v>
      </c>
      <c r="H77" s="116">
        <f>H76/('Model input'!$D$78/'Model input'!$G$78)</f>
        <v>0</v>
      </c>
      <c r="I77" s="4"/>
      <c r="J77" s="4"/>
      <c r="K77" s="4"/>
      <c r="L77" s="4"/>
      <c r="M77" s="4"/>
      <c r="N77" s="4"/>
      <c r="O77" s="4"/>
      <c r="P77" s="6"/>
      <c r="Q77" s="4"/>
      <c r="R77" s="4"/>
      <c r="S77" s="4"/>
      <c r="T77" s="4"/>
      <c r="U77" s="4"/>
      <c r="V77" s="4"/>
      <c r="W77" s="4"/>
      <c r="X77" s="4"/>
      <c r="Y77" s="4"/>
      <c r="Z77" s="4"/>
      <c r="AA77" s="4"/>
      <c r="AB77" s="4"/>
      <c r="AC77" s="4"/>
      <c r="AD77" s="4"/>
      <c r="AE77" s="4"/>
    </row>
    <row r="78" spans="2:31" x14ac:dyDescent="0.3">
      <c r="B78" s="9" t="s">
        <v>140</v>
      </c>
      <c r="C78" s="116">
        <f>C77*'Model input'!$E$87</f>
        <v>55509.06712644409</v>
      </c>
      <c r="D78" s="116">
        <f>D77*'Model input'!$E$87</f>
        <v>79591.583698159768</v>
      </c>
      <c r="E78" s="116">
        <f>E77*'Model input'!$E$87</f>
        <v>445384.89209139324</v>
      </c>
      <c r="F78" s="116">
        <f>F77*'Model input'!$E$87</f>
        <v>56034.003753944387</v>
      </c>
      <c r="G78" s="116">
        <f>G77*'Model input'!$E$87</f>
        <v>32701.433866951269</v>
      </c>
      <c r="H78" s="116">
        <f>H77*'Model input'!$E$87</f>
        <v>0</v>
      </c>
      <c r="I78" s="4"/>
      <c r="J78" s="4"/>
      <c r="K78" s="4"/>
      <c r="L78" s="4"/>
      <c r="M78" s="4"/>
      <c r="N78" s="4"/>
      <c r="O78" s="4"/>
      <c r="P78" s="6"/>
      <c r="Q78" s="4"/>
      <c r="R78" s="4"/>
      <c r="S78" s="4"/>
      <c r="T78" s="4"/>
      <c r="U78" s="4"/>
      <c r="V78" s="4"/>
      <c r="W78" s="4"/>
      <c r="X78" s="4"/>
      <c r="Y78" s="4"/>
      <c r="Z78" s="4"/>
      <c r="AA78" s="4"/>
      <c r="AB78" s="4"/>
      <c r="AC78" s="4"/>
      <c r="AD78" s="4"/>
      <c r="AE78" s="4"/>
    </row>
    <row r="79" spans="2:31" ht="21" customHeight="1" x14ac:dyDescent="0.3">
      <c r="B79" s="334"/>
      <c r="C79" s="4"/>
      <c r="D79" s="4"/>
      <c r="E79" s="4"/>
      <c r="F79" s="4"/>
      <c r="G79" s="4"/>
      <c r="H79" s="4"/>
      <c r="I79" s="4"/>
      <c r="J79" s="4"/>
      <c r="K79" s="4"/>
      <c r="L79" s="4"/>
      <c r="M79" s="4"/>
      <c r="N79" s="4"/>
      <c r="O79" s="4"/>
      <c r="P79" s="6"/>
      <c r="Q79" s="4"/>
      <c r="R79" s="4"/>
      <c r="S79" s="4"/>
      <c r="T79" s="4"/>
      <c r="U79" s="4"/>
      <c r="V79" s="4"/>
      <c r="W79" s="4"/>
      <c r="X79" s="4"/>
      <c r="Y79" s="4"/>
      <c r="Z79" s="4"/>
      <c r="AA79" s="4"/>
      <c r="AB79" s="4"/>
      <c r="AC79" s="4"/>
      <c r="AD79" s="4"/>
      <c r="AE79" s="4"/>
    </row>
    <row r="80" spans="2:31" ht="17.399999999999999" customHeight="1" x14ac:dyDescent="0.4">
      <c r="B80" s="332" t="s">
        <v>68</v>
      </c>
      <c r="C80" s="4"/>
      <c r="D80" s="4"/>
      <c r="E80" s="4"/>
      <c r="F80" s="4"/>
      <c r="G80" s="4"/>
      <c r="H80" s="4"/>
      <c r="I80" s="4"/>
      <c r="J80" s="4"/>
      <c r="K80" s="4"/>
      <c r="L80" s="4"/>
      <c r="M80" s="4"/>
      <c r="N80" s="4"/>
      <c r="O80" s="4"/>
      <c r="P80" s="6"/>
      <c r="Q80" s="4"/>
      <c r="R80" s="4"/>
      <c r="S80" s="4"/>
      <c r="T80" s="4"/>
      <c r="U80" s="4"/>
      <c r="V80" s="4"/>
      <c r="W80" s="4"/>
      <c r="X80" s="4"/>
      <c r="Y80" s="4"/>
      <c r="Z80" s="4"/>
      <c r="AA80" s="4"/>
      <c r="AB80" s="4"/>
      <c r="AC80" s="4"/>
      <c r="AD80" s="4"/>
      <c r="AE80" s="4"/>
    </row>
    <row r="81" spans="2:31" ht="15.6" x14ac:dyDescent="0.3">
      <c r="B81" s="337" t="s">
        <v>88</v>
      </c>
      <c r="C81" s="336">
        <v>2018</v>
      </c>
      <c r="D81" s="336">
        <v>2019</v>
      </c>
      <c r="E81" s="336">
        <v>2020</v>
      </c>
      <c r="F81" s="336">
        <v>2021</v>
      </c>
      <c r="G81" s="336">
        <v>2022</v>
      </c>
      <c r="H81" s="336">
        <v>2023</v>
      </c>
      <c r="I81" s="336" t="s">
        <v>71</v>
      </c>
      <c r="J81" s="4"/>
      <c r="K81" s="4"/>
      <c r="L81" s="4"/>
      <c r="M81" s="4"/>
      <c r="N81" s="4"/>
      <c r="O81" s="4"/>
      <c r="P81" s="6"/>
      <c r="Q81" s="4"/>
      <c r="R81" s="4"/>
      <c r="S81" s="4"/>
      <c r="T81" s="4"/>
      <c r="U81" s="4"/>
      <c r="V81" s="4"/>
      <c r="W81" s="4"/>
      <c r="X81" s="4"/>
      <c r="Y81" s="4"/>
      <c r="Z81" s="4"/>
      <c r="AA81" s="4"/>
      <c r="AB81" s="4"/>
      <c r="AC81" s="4"/>
      <c r="AD81" s="4"/>
      <c r="AE81" s="4"/>
    </row>
    <row r="82" spans="2:31" x14ac:dyDescent="0.3">
      <c r="B82" s="9" t="s">
        <v>136</v>
      </c>
      <c r="C82" s="193">
        <v>0</v>
      </c>
      <c r="D82" s="193">
        <f>68514-68514*'Sensitivity analysis'!C10</f>
        <v>56866.619999999995</v>
      </c>
      <c r="E82" s="193">
        <f>561596-561596*'Sensitivity analysis'!C10</f>
        <v>466124.68</v>
      </c>
      <c r="F82" s="193">
        <f>704315-704315*'Sensitivity analysis'!C10</f>
        <v>584581.44999999995</v>
      </c>
      <c r="G82" s="193">
        <f>754811-754811*'Sensitivity analysis'!C10</f>
        <v>626493.13</v>
      </c>
      <c r="H82" s="193">
        <f>26047-26047*'Sensitivity analysis'!C10</f>
        <v>21619.01</v>
      </c>
      <c r="I82" s="9" t="s">
        <v>237</v>
      </c>
      <c r="J82" s="4"/>
      <c r="K82" s="4"/>
      <c r="L82" s="4"/>
      <c r="M82" s="4"/>
      <c r="N82" s="4"/>
      <c r="O82" s="4"/>
      <c r="P82" s="6"/>
      <c r="Q82" s="4"/>
      <c r="R82" s="4"/>
      <c r="S82" s="4"/>
      <c r="T82" s="4"/>
      <c r="U82" s="4"/>
      <c r="V82" s="4"/>
      <c r="W82" s="4"/>
      <c r="X82" s="4"/>
      <c r="Y82" s="4"/>
      <c r="Z82" s="4"/>
      <c r="AA82" s="4"/>
      <c r="AB82" s="4"/>
      <c r="AC82" s="4"/>
      <c r="AD82" s="4"/>
      <c r="AE82" s="4"/>
    </row>
    <row r="83" spans="2:31" x14ac:dyDescent="0.3">
      <c r="B83" s="9" t="s">
        <v>141</v>
      </c>
      <c r="C83" s="116">
        <v>0</v>
      </c>
      <c r="D83" s="116">
        <f>D82</f>
        <v>56866.619999999995</v>
      </c>
      <c r="E83" s="116">
        <f>E82/('Model input'!F78/'Model input'!$E$78)</f>
        <v>460010.61210239073</v>
      </c>
      <c r="F83" s="116">
        <f>F82/('Model input'!G78/'Model input'!$E$78)</f>
        <v>551720.89632166061</v>
      </c>
      <c r="G83" s="116">
        <f>G82/('Model input'!H78/'Model input'!$E$78)</f>
        <v>551930.33030239097</v>
      </c>
      <c r="H83" s="116">
        <f>H82/('Model input'!I78/'Model input'!$E$78)</f>
        <v>18384.309344504964</v>
      </c>
      <c r="I83" s="9"/>
      <c r="J83" s="4"/>
      <c r="K83" s="4"/>
      <c r="L83" s="4"/>
      <c r="M83" s="4"/>
      <c r="N83" s="4"/>
      <c r="O83" s="4"/>
      <c r="P83" s="6"/>
      <c r="Q83" s="4"/>
      <c r="R83" s="4"/>
      <c r="S83" s="4"/>
      <c r="T83" s="4"/>
      <c r="U83" s="4"/>
      <c r="V83" s="4"/>
      <c r="W83" s="4"/>
      <c r="X83" s="4"/>
      <c r="Y83" s="4"/>
      <c r="Z83" s="4"/>
      <c r="AA83" s="4"/>
      <c r="AB83" s="4"/>
      <c r="AC83" s="4"/>
      <c r="AD83" s="4"/>
      <c r="AE83" s="4"/>
    </row>
    <row r="84" spans="2:31" x14ac:dyDescent="0.3">
      <c r="B84" s="9" t="s">
        <v>142</v>
      </c>
      <c r="C84" s="116">
        <v>0</v>
      </c>
      <c r="D84" s="116">
        <f>D83/(1+'Model input'!$C$13)^(D81-2019)</f>
        <v>56866.619999999995</v>
      </c>
      <c r="E84" s="116">
        <f>E83/(1+'Model input'!$C$13)^(E81-2019)</f>
        <v>418191.46554762789</v>
      </c>
      <c r="F84" s="116">
        <f>F83/(1+'Model input'!$C$13)^(F81-2019)</f>
        <v>455967.68291046325</v>
      </c>
      <c r="G84" s="116">
        <f>G83/(1+'Model input'!$C$13)^(G81-2019)</f>
        <v>414673.42622268281</v>
      </c>
      <c r="H84" s="116">
        <f>H83/(1+'Model input'!$C$13)^(H81-2019)</f>
        <v>12556.730649890689</v>
      </c>
      <c r="I84" s="9"/>
      <c r="J84" s="4"/>
      <c r="K84" s="4"/>
      <c r="L84" s="4"/>
      <c r="M84" s="4"/>
      <c r="N84" s="4"/>
      <c r="O84" s="4"/>
      <c r="P84" s="6"/>
      <c r="Q84" s="4"/>
      <c r="R84" s="4"/>
      <c r="S84" s="4"/>
      <c r="T84" s="4"/>
      <c r="U84" s="4"/>
      <c r="V84" s="4"/>
      <c r="W84" s="4"/>
      <c r="X84" s="4"/>
      <c r="Y84" s="4"/>
      <c r="Z84" s="4"/>
      <c r="AA84" s="4"/>
      <c r="AB84" s="4"/>
      <c r="AC84" s="4"/>
      <c r="AD84" s="4"/>
      <c r="AE84" s="4"/>
    </row>
    <row r="85" spans="2:31" x14ac:dyDescent="0.3">
      <c r="B85" s="9" t="s">
        <v>139</v>
      </c>
      <c r="C85" s="116">
        <v>0</v>
      </c>
      <c r="D85" s="116">
        <f>D84/('Model input'!$E$78/'Model input'!$G$78)</f>
        <v>60253.601771896239</v>
      </c>
      <c r="E85" s="116">
        <f>E84/('Model input'!$E$78/'Model input'!$G$78)</f>
        <v>443098.99251111527</v>
      </c>
      <c r="F85" s="116">
        <f>F84/('Model input'!$E$78/'Model input'!$G$78)</f>
        <v>483125.16528925602</v>
      </c>
      <c r="G85" s="116">
        <f>G84/('Model input'!$E$78/'Model input'!$G$78)</f>
        <v>439371.41839992121</v>
      </c>
      <c r="H85" s="116">
        <f>H84/('Model input'!$E$78/'Model input'!$G$78)</f>
        <v>13304.610826799228</v>
      </c>
      <c r="I85" s="9"/>
      <c r="J85" s="4"/>
      <c r="K85" s="4"/>
      <c r="L85" s="4"/>
      <c r="M85" s="4"/>
      <c r="N85" s="4"/>
      <c r="O85" s="4"/>
      <c r="P85" s="6"/>
      <c r="Q85" s="4"/>
      <c r="R85" s="4"/>
      <c r="S85" s="4"/>
      <c r="T85" s="4"/>
      <c r="U85" s="4"/>
      <c r="V85" s="4"/>
      <c r="W85" s="4"/>
      <c r="X85" s="4"/>
      <c r="Y85" s="4"/>
      <c r="Z85" s="4"/>
      <c r="AA85" s="4"/>
      <c r="AB85" s="4"/>
      <c r="AC85" s="4"/>
      <c r="AD85" s="4"/>
      <c r="AE85" s="4"/>
    </row>
    <row r="86" spans="2:31" x14ac:dyDescent="0.3">
      <c r="B86" s="9" t="s">
        <v>140</v>
      </c>
      <c r="C86" s="116">
        <v>0</v>
      </c>
      <c r="D86" s="116">
        <f>D85*'Model input'!$E$87</f>
        <v>53200.917684495784</v>
      </c>
      <c r="E86" s="116">
        <f>E85*'Model input'!$E$87</f>
        <v>391234.25543768925</v>
      </c>
      <c r="F86" s="116">
        <f>F85*'Model input'!$E$87</f>
        <v>426575.36469214864</v>
      </c>
      <c r="G86" s="116">
        <f>G85*'Model input'!$E$87</f>
        <v>387942.99387621041</v>
      </c>
      <c r="H86" s="116">
        <f>H85*'Model input'!$E$87</f>
        <v>11747.306129522378</v>
      </c>
      <c r="I86" s="9"/>
      <c r="J86" s="4"/>
      <c r="K86" s="4"/>
      <c r="L86" s="4"/>
      <c r="M86" s="4"/>
      <c r="N86" s="4"/>
      <c r="O86" s="4"/>
      <c r="P86" s="6"/>
      <c r="Q86" s="4"/>
      <c r="R86" s="4"/>
      <c r="S86" s="4"/>
      <c r="T86" s="4"/>
      <c r="U86" s="4"/>
      <c r="V86" s="4"/>
      <c r="W86" s="4"/>
      <c r="X86" s="4"/>
      <c r="Y86" s="4"/>
      <c r="Z86" s="4"/>
      <c r="AA86" s="4"/>
      <c r="AB86" s="4"/>
      <c r="AC86" s="4"/>
      <c r="AD86" s="4"/>
      <c r="AE86" s="4"/>
    </row>
    <row r="87" spans="2:31" x14ac:dyDescent="0.3">
      <c r="B87" s="275"/>
      <c r="C87" s="4"/>
      <c r="D87" s="4"/>
      <c r="E87" s="4"/>
      <c r="F87" s="4"/>
      <c r="G87" s="4"/>
      <c r="H87" s="4"/>
      <c r="I87" s="4"/>
      <c r="J87" s="4"/>
      <c r="K87" s="4"/>
      <c r="L87" s="4"/>
      <c r="M87" s="4"/>
      <c r="N87" s="4"/>
      <c r="O87" s="4"/>
      <c r="P87" s="6"/>
      <c r="Q87" s="4"/>
      <c r="R87" s="4"/>
      <c r="S87" s="4"/>
      <c r="T87" s="4"/>
      <c r="U87" s="4"/>
      <c r="V87" s="4"/>
      <c r="W87" s="4"/>
      <c r="X87" s="4"/>
      <c r="Y87" s="4"/>
      <c r="Z87" s="4"/>
      <c r="AA87" s="4"/>
      <c r="AB87" s="4"/>
      <c r="AC87" s="4"/>
      <c r="AD87" s="4"/>
      <c r="AE87" s="4"/>
    </row>
    <row r="88" spans="2:31" ht="15.6" x14ac:dyDescent="0.3">
      <c r="B88" s="344" t="s">
        <v>143</v>
      </c>
      <c r="C88" s="345">
        <f>SUM(C78:H78)</f>
        <v>669220.98053689278</v>
      </c>
      <c r="D88" s="81"/>
      <c r="E88" s="4"/>
      <c r="F88" s="4"/>
      <c r="G88" s="4"/>
      <c r="H88" s="4"/>
      <c r="I88" s="4"/>
      <c r="J88" s="4"/>
      <c r="K88" s="4"/>
      <c r="L88" s="4"/>
      <c r="M88" s="4"/>
      <c r="N88" s="4"/>
      <c r="O88" s="4"/>
      <c r="P88" s="6"/>
      <c r="Q88" s="4"/>
      <c r="R88" s="4"/>
      <c r="S88" s="4"/>
      <c r="T88" s="4"/>
      <c r="U88" s="4"/>
      <c r="V88" s="4"/>
      <c r="W88" s="4"/>
      <c r="X88" s="4"/>
      <c r="Y88" s="4"/>
      <c r="Z88" s="4"/>
      <c r="AA88" s="4"/>
      <c r="AB88" s="4"/>
      <c r="AC88" s="4"/>
      <c r="AD88" s="4"/>
      <c r="AE88" s="4"/>
    </row>
    <row r="89" spans="2:31" ht="15.6" x14ac:dyDescent="0.3">
      <c r="B89" s="344" t="s">
        <v>144</v>
      </c>
      <c r="C89" s="345">
        <f>SUM(C86:H86)</f>
        <v>1270700.8378200664</v>
      </c>
      <c r="D89" s="81"/>
      <c r="E89" s="81"/>
      <c r="F89" s="4"/>
      <c r="G89" s="4"/>
      <c r="H89" s="4"/>
      <c r="I89" s="4"/>
      <c r="J89" s="4"/>
      <c r="K89" s="4"/>
      <c r="L89" s="4"/>
      <c r="M89" s="4"/>
      <c r="N89" s="4"/>
      <c r="O89" s="4"/>
      <c r="P89" s="6"/>
      <c r="Q89" s="4"/>
      <c r="R89" s="4"/>
      <c r="S89" s="4"/>
      <c r="T89" s="4"/>
      <c r="U89" s="4"/>
      <c r="V89" s="4"/>
      <c r="W89" s="4"/>
      <c r="X89" s="4"/>
      <c r="Y89" s="4"/>
      <c r="Z89" s="4"/>
      <c r="AA89" s="4"/>
      <c r="AB89" s="4"/>
      <c r="AC89" s="4"/>
      <c r="AD89" s="4"/>
      <c r="AE89" s="4"/>
    </row>
    <row r="90" spans="2:31" ht="16.5" customHeight="1" x14ac:dyDescent="0.35">
      <c r="B90" s="344" t="s">
        <v>145</v>
      </c>
      <c r="C90" s="345">
        <f>C88+C89</f>
        <v>1939921.8183569591</v>
      </c>
      <c r="D90" s="4"/>
      <c r="E90" s="4"/>
      <c r="F90" s="4"/>
      <c r="G90" s="4"/>
      <c r="H90" s="4"/>
      <c r="I90" s="4"/>
      <c r="J90" s="4"/>
      <c r="K90" s="4"/>
      <c r="L90" s="4"/>
      <c r="M90" s="4"/>
      <c r="N90" s="4"/>
      <c r="O90" s="4"/>
      <c r="P90" s="132"/>
      <c r="Q90" s="82"/>
      <c r="R90" s="82"/>
      <c r="S90" s="82"/>
      <c r="T90" s="82"/>
      <c r="U90" s="82"/>
      <c r="V90" s="82"/>
      <c r="W90" s="82"/>
      <c r="X90" s="82"/>
      <c r="Y90" s="82"/>
      <c r="Z90" s="82"/>
      <c r="AA90" s="82"/>
      <c r="AB90" s="82"/>
      <c r="AC90" s="82"/>
      <c r="AD90" s="82"/>
      <c r="AE90" s="82"/>
    </row>
    <row r="91" spans="2:31" ht="15.6" x14ac:dyDescent="0.3">
      <c r="B91" s="344" t="s">
        <v>146</v>
      </c>
      <c r="C91" s="345">
        <f>C90/'Model input'!$E$69</f>
        <v>40.61897900619693</v>
      </c>
      <c r="D91" s="81"/>
      <c r="E91" s="4"/>
      <c r="F91" s="4"/>
      <c r="G91" s="4"/>
      <c r="H91" s="4"/>
      <c r="I91" s="4"/>
      <c r="J91" s="4"/>
      <c r="K91" s="4"/>
      <c r="L91" s="4"/>
      <c r="M91" s="4"/>
      <c r="N91" s="4"/>
      <c r="O91" s="4"/>
      <c r="P91" s="6"/>
      <c r="Q91" s="4"/>
      <c r="R91" s="4"/>
      <c r="S91" s="4"/>
      <c r="T91" s="4"/>
      <c r="U91" s="4"/>
      <c r="V91" s="4"/>
      <c r="W91" s="4"/>
      <c r="X91" s="4"/>
      <c r="Y91" s="4"/>
      <c r="Z91" s="4"/>
      <c r="AA91" s="4"/>
      <c r="AB91" s="4"/>
      <c r="AC91" s="4"/>
      <c r="AD91" s="4"/>
      <c r="AE91" s="4"/>
    </row>
    <row r="92" spans="2:31" ht="15.6" x14ac:dyDescent="0.3">
      <c r="B92" s="344" t="s">
        <v>147</v>
      </c>
      <c r="C92" s="345">
        <f>C90/'Model input'!$E$71</f>
        <v>45.750715021861211</v>
      </c>
      <c r="D92" s="4"/>
      <c r="E92" s="4"/>
      <c r="F92" s="4"/>
      <c r="G92" s="4"/>
      <c r="H92" s="4"/>
      <c r="I92" s="4"/>
      <c r="J92" s="4"/>
      <c r="K92" s="4"/>
      <c r="L92" s="4"/>
      <c r="M92" s="4"/>
      <c r="N92" s="4"/>
      <c r="O92" s="4"/>
      <c r="P92" s="6"/>
      <c r="Q92" s="4"/>
      <c r="R92" s="4"/>
      <c r="S92" s="4"/>
      <c r="T92" s="4"/>
      <c r="U92" s="4"/>
      <c r="V92" s="4"/>
      <c r="W92" s="4"/>
      <c r="X92" s="4"/>
      <c r="Y92" s="4"/>
      <c r="Z92" s="4"/>
      <c r="AA92" s="4"/>
      <c r="AB92" s="4"/>
      <c r="AC92" s="4"/>
      <c r="AD92" s="4"/>
      <c r="AE92" s="4"/>
    </row>
    <row r="93" spans="2:31" x14ac:dyDescent="0.3">
      <c r="B93" s="334"/>
      <c r="C93" s="4"/>
      <c r="D93" s="4"/>
      <c r="E93" s="4"/>
      <c r="F93" s="4"/>
      <c r="G93" s="4"/>
      <c r="H93" s="4"/>
      <c r="I93" s="4"/>
      <c r="J93" s="4"/>
      <c r="K93" s="4"/>
      <c r="L93" s="4"/>
      <c r="M93" s="4"/>
      <c r="N93" s="4"/>
      <c r="O93" s="4"/>
      <c r="P93" s="6"/>
      <c r="Q93" s="4"/>
      <c r="R93" s="4"/>
      <c r="S93" s="4"/>
      <c r="T93" s="4"/>
      <c r="U93" s="4"/>
      <c r="V93" s="4"/>
      <c r="W93" s="4"/>
      <c r="X93" s="4"/>
      <c r="Y93" s="4"/>
      <c r="Z93" s="4"/>
      <c r="AA93" s="4"/>
      <c r="AB93" s="4"/>
      <c r="AC93" s="4"/>
      <c r="AD93" s="4"/>
      <c r="AE93" s="4"/>
    </row>
    <row r="94" spans="2:31" ht="18" x14ac:dyDescent="0.35">
      <c r="B94" s="331" t="s">
        <v>225</v>
      </c>
      <c r="C94" s="27"/>
      <c r="D94" s="28"/>
      <c r="E94" s="29"/>
      <c r="F94" s="29"/>
      <c r="G94" s="29"/>
      <c r="H94" s="29"/>
      <c r="I94" s="29"/>
      <c r="J94" s="29"/>
      <c r="K94" s="29"/>
      <c r="L94" s="29"/>
      <c r="M94" s="29"/>
      <c r="N94" s="29"/>
      <c r="O94" s="29"/>
      <c r="P94" s="6"/>
      <c r="Q94" s="4"/>
      <c r="R94" s="4"/>
      <c r="S94" s="4"/>
      <c r="T94" s="4"/>
      <c r="U94" s="4"/>
      <c r="V94" s="4"/>
      <c r="W94" s="4"/>
      <c r="X94" s="4"/>
      <c r="Y94" s="4"/>
      <c r="Z94" s="4"/>
      <c r="AA94" s="4"/>
      <c r="AB94" s="4"/>
      <c r="AC94" s="4"/>
      <c r="AD94" s="4"/>
      <c r="AE94" s="4"/>
    </row>
    <row r="95" spans="2:31" x14ac:dyDescent="0.3">
      <c r="B95" s="339"/>
      <c r="C95" s="4"/>
      <c r="D95" s="4"/>
      <c r="E95" s="4"/>
      <c r="F95" s="4"/>
      <c r="G95" s="4"/>
      <c r="H95" s="4"/>
      <c r="I95" s="4"/>
      <c r="J95" s="4"/>
      <c r="K95" s="4"/>
      <c r="L95" s="4"/>
      <c r="M95" s="4"/>
      <c r="N95" s="4"/>
      <c r="O95" s="4"/>
      <c r="P95" s="6"/>
      <c r="Q95" s="4"/>
      <c r="R95" s="4"/>
      <c r="S95" s="4"/>
      <c r="T95" s="4"/>
      <c r="U95" s="4"/>
      <c r="V95" s="4"/>
      <c r="W95" s="4"/>
      <c r="X95" s="4"/>
      <c r="Y95" s="4"/>
      <c r="Z95" s="4"/>
      <c r="AA95" s="4"/>
      <c r="AB95" s="4"/>
      <c r="AC95" s="4"/>
      <c r="AD95" s="4"/>
      <c r="AE95" s="4"/>
    </row>
    <row r="96" spans="2:31" ht="15.6" x14ac:dyDescent="0.3">
      <c r="B96" s="340" t="s">
        <v>148</v>
      </c>
      <c r="C96" s="341">
        <f>SUM(E65:O65)</f>
        <v>873490.83072605054</v>
      </c>
      <c r="D96" s="4"/>
      <c r="E96" s="4"/>
      <c r="F96" s="4"/>
      <c r="G96" s="4"/>
      <c r="H96" s="4"/>
      <c r="I96" s="4"/>
      <c r="J96" s="4"/>
      <c r="K96" s="4"/>
      <c r="L96" s="4"/>
      <c r="M96" s="4"/>
      <c r="N96" s="4"/>
      <c r="O96" s="4"/>
      <c r="P96" s="6"/>
      <c r="Q96" s="4"/>
      <c r="R96" s="4"/>
      <c r="S96" s="4"/>
      <c r="T96" s="4"/>
      <c r="U96" s="4"/>
      <c r="V96" s="4"/>
      <c r="W96" s="4"/>
      <c r="X96" s="4"/>
      <c r="Y96" s="4"/>
      <c r="Z96" s="4"/>
      <c r="AA96" s="4"/>
      <c r="AB96" s="4"/>
      <c r="AC96" s="4"/>
      <c r="AD96" s="4"/>
      <c r="AE96" s="4"/>
    </row>
    <row r="97" spans="2:31" ht="15.6" x14ac:dyDescent="0.3">
      <c r="B97" s="340" t="s">
        <v>149</v>
      </c>
      <c r="C97" s="341">
        <f>C96-C88</f>
        <v>204269.85018915776</v>
      </c>
      <c r="D97" s="4"/>
      <c r="E97" s="4"/>
      <c r="F97" s="4"/>
      <c r="G97" s="4"/>
      <c r="H97" s="4"/>
      <c r="I97" s="4"/>
      <c r="J97" s="4"/>
      <c r="K97" s="4"/>
      <c r="L97" s="4"/>
      <c r="M97" s="4"/>
      <c r="N97" s="4"/>
      <c r="O97" s="4"/>
      <c r="P97" s="6"/>
      <c r="Q97" s="4"/>
      <c r="R97" s="4"/>
      <c r="S97" s="4"/>
      <c r="T97" s="4"/>
      <c r="U97" s="4"/>
      <c r="V97" s="4"/>
      <c r="W97" s="4"/>
      <c r="X97" s="4"/>
      <c r="Y97" s="4"/>
      <c r="Z97" s="4"/>
      <c r="AA97" s="4"/>
      <c r="AB97" s="4"/>
      <c r="AC97" s="4"/>
      <c r="AD97" s="4"/>
      <c r="AE97" s="4"/>
    </row>
    <row r="98" spans="2:31" ht="15.6" x14ac:dyDescent="0.3">
      <c r="B98" s="340" t="s">
        <v>150</v>
      </c>
      <c r="C98" s="341">
        <f>SUM(E66:O66)</f>
        <v>1427455.4548405721</v>
      </c>
      <c r="D98" s="4"/>
      <c r="E98" s="4"/>
      <c r="F98" s="4"/>
      <c r="G98" s="4"/>
      <c r="H98" s="4"/>
      <c r="I98" s="4"/>
      <c r="J98" s="4"/>
      <c r="K98" s="4"/>
      <c r="L98" s="4"/>
      <c r="M98" s="4"/>
      <c r="N98" s="4"/>
      <c r="O98" s="4"/>
      <c r="P98" s="6"/>
      <c r="Q98" s="4"/>
      <c r="R98" s="4"/>
      <c r="S98" s="4"/>
      <c r="T98" s="4"/>
      <c r="U98" s="4"/>
      <c r="V98" s="4"/>
      <c r="W98" s="4"/>
      <c r="X98" s="4"/>
      <c r="Y98" s="4"/>
      <c r="Z98" s="4"/>
      <c r="AA98" s="4"/>
      <c r="AB98" s="4"/>
      <c r="AC98" s="4"/>
      <c r="AD98" s="4"/>
      <c r="AE98" s="4"/>
    </row>
    <row r="99" spans="2:31" ht="15.6" x14ac:dyDescent="0.3">
      <c r="B99" s="340" t="s">
        <v>151</v>
      </c>
      <c r="C99" s="341">
        <f>C98-C89</f>
        <v>156754.61702050571</v>
      </c>
      <c r="D99" s="4"/>
      <c r="E99" s="4"/>
      <c r="F99" s="4"/>
      <c r="G99" s="4"/>
      <c r="H99" s="4"/>
      <c r="I99" s="4"/>
      <c r="J99" s="4"/>
      <c r="K99" s="4"/>
      <c r="L99" s="4"/>
      <c r="M99" s="4"/>
      <c r="N99" s="4"/>
      <c r="O99" s="4"/>
      <c r="P99" s="6"/>
      <c r="Q99" s="4"/>
      <c r="R99" s="4"/>
      <c r="S99" s="4"/>
      <c r="T99" s="4"/>
      <c r="U99" s="4"/>
      <c r="V99" s="4"/>
      <c r="W99" s="4"/>
      <c r="X99" s="4"/>
      <c r="Y99" s="4"/>
      <c r="Z99" s="4"/>
      <c r="AA99" s="4"/>
      <c r="AB99" s="4"/>
      <c r="AC99" s="4"/>
      <c r="AD99" s="4"/>
      <c r="AE99" s="4"/>
    </row>
    <row r="100" spans="2:31" ht="15.6" x14ac:dyDescent="0.3">
      <c r="B100" s="340" t="s">
        <v>153</v>
      </c>
      <c r="C100" s="341">
        <f>SUM(E67:O67)</f>
        <v>2300946.2855666224</v>
      </c>
      <c r="D100" s="4"/>
      <c r="E100" s="4"/>
      <c r="F100" s="64"/>
      <c r="G100" s="4"/>
      <c r="H100" s="4"/>
      <c r="I100" s="4"/>
      <c r="J100" s="4"/>
      <c r="K100" s="4"/>
      <c r="L100" s="4"/>
      <c r="M100" s="4"/>
      <c r="N100" s="4"/>
      <c r="O100" s="4"/>
      <c r="P100" s="6"/>
      <c r="Q100" s="4"/>
      <c r="R100" s="4"/>
      <c r="S100" s="4"/>
      <c r="T100" s="4"/>
      <c r="U100" s="4"/>
      <c r="V100" s="4"/>
      <c r="W100" s="4"/>
      <c r="X100" s="4"/>
      <c r="Y100" s="4"/>
      <c r="Z100" s="4"/>
      <c r="AA100" s="4"/>
      <c r="AB100" s="4"/>
      <c r="AC100" s="4"/>
      <c r="AD100" s="4"/>
      <c r="AE100" s="4"/>
    </row>
    <row r="101" spans="2:31" ht="15.6" x14ac:dyDescent="0.3">
      <c r="B101" s="340" t="s">
        <v>154</v>
      </c>
      <c r="C101" s="341">
        <f>C100-C90</f>
        <v>361024.46720966324</v>
      </c>
      <c r="D101" s="4"/>
      <c r="E101" s="4"/>
      <c r="F101" s="4"/>
      <c r="G101" s="4"/>
      <c r="H101" s="4"/>
      <c r="I101" s="4"/>
      <c r="J101" s="4"/>
      <c r="K101" s="4"/>
      <c r="L101" s="4"/>
      <c r="M101" s="4"/>
      <c r="N101" s="4"/>
      <c r="O101" s="4"/>
      <c r="P101" s="6"/>
      <c r="Q101" s="4"/>
      <c r="R101" s="4"/>
      <c r="S101" s="4"/>
      <c r="T101" s="4"/>
      <c r="U101" s="4"/>
      <c r="V101" s="4"/>
      <c r="W101" s="4"/>
      <c r="X101" s="4"/>
      <c r="Y101" s="4"/>
      <c r="Z101" s="4"/>
      <c r="AA101" s="4"/>
      <c r="AB101" s="4"/>
      <c r="AC101" s="4"/>
      <c r="AD101" s="4"/>
      <c r="AE101" s="4"/>
    </row>
    <row r="102" spans="2:31" ht="15.6" x14ac:dyDescent="0.3">
      <c r="B102" s="340" t="s">
        <v>226</v>
      </c>
      <c r="C102" s="342">
        <f>SUM(E30:O30)</f>
        <v>39.210433663691276</v>
      </c>
      <c r="D102" s="4"/>
      <c r="E102" s="4"/>
      <c r="F102" s="4"/>
      <c r="G102" s="4"/>
      <c r="H102" s="4"/>
      <c r="I102" s="4"/>
      <c r="J102" s="4"/>
      <c r="K102" s="4"/>
      <c r="L102" s="4"/>
      <c r="M102" s="4"/>
      <c r="N102" s="4"/>
      <c r="O102" s="4"/>
      <c r="P102" s="6"/>
      <c r="Q102" s="4"/>
      <c r="R102" s="4"/>
      <c r="S102" s="4"/>
      <c r="T102" s="4"/>
      <c r="U102" s="4"/>
      <c r="V102" s="4"/>
      <c r="W102" s="4"/>
      <c r="X102" s="4"/>
      <c r="Y102" s="4"/>
      <c r="Z102" s="4"/>
      <c r="AA102" s="4"/>
      <c r="AB102" s="4"/>
      <c r="AC102" s="4"/>
      <c r="AD102" s="4"/>
      <c r="AE102" s="4"/>
    </row>
    <row r="103" spans="2:31" ht="15.6" x14ac:dyDescent="0.3">
      <c r="B103" s="340" t="s">
        <v>227</v>
      </c>
      <c r="C103" s="342">
        <f>SUM(F59:O59)</f>
        <v>70.929463594562591</v>
      </c>
      <c r="D103" s="4"/>
      <c r="E103" s="64"/>
      <c r="F103" s="64"/>
      <c r="G103" s="4"/>
      <c r="H103" s="4"/>
      <c r="I103" s="4"/>
      <c r="J103" s="4"/>
      <c r="K103" s="4"/>
      <c r="L103" s="4"/>
      <c r="M103" s="4"/>
      <c r="N103" s="4"/>
      <c r="O103" s="4"/>
      <c r="P103" s="6"/>
      <c r="Q103" s="4"/>
      <c r="R103" s="4"/>
      <c r="S103" s="4"/>
      <c r="T103" s="4"/>
      <c r="U103" s="4"/>
      <c r="V103" s="4"/>
      <c r="W103" s="4"/>
      <c r="X103" s="4"/>
      <c r="Y103" s="4"/>
      <c r="Z103" s="4"/>
      <c r="AA103" s="4"/>
      <c r="AB103" s="4"/>
      <c r="AC103" s="4"/>
      <c r="AD103" s="4"/>
      <c r="AE103" s="4"/>
    </row>
    <row r="104" spans="2:31" ht="15.6" x14ac:dyDescent="0.3">
      <c r="B104" s="340" t="s">
        <v>228</v>
      </c>
      <c r="C104" s="341">
        <f>C100/'Model input'!$E$71</f>
        <v>54.265041402920204</v>
      </c>
      <c r="D104" s="4"/>
      <c r="E104" s="4"/>
      <c r="F104" s="4"/>
      <c r="G104" s="4"/>
      <c r="H104" s="4"/>
      <c r="I104" s="4"/>
      <c r="J104" s="4"/>
      <c r="K104" s="4"/>
      <c r="L104" s="4"/>
      <c r="M104" s="4"/>
      <c r="N104" s="4"/>
      <c r="O104" s="4"/>
      <c r="P104" s="6"/>
      <c r="Q104" s="4"/>
      <c r="R104" s="4"/>
      <c r="S104" s="4"/>
      <c r="T104" s="4"/>
      <c r="U104" s="4"/>
      <c r="V104" s="4"/>
      <c r="W104" s="4"/>
      <c r="X104" s="4"/>
      <c r="Y104" s="4"/>
      <c r="Z104" s="4"/>
      <c r="AA104" s="4"/>
      <c r="AB104" s="4"/>
      <c r="AC104" s="4"/>
      <c r="AD104" s="4"/>
      <c r="AE104" s="4"/>
    </row>
    <row r="105" spans="2:31" ht="15.6" customHeight="1" x14ac:dyDescent="0.35">
      <c r="B105" s="340" t="s">
        <v>152</v>
      </c>
      <c r="C105" s="341">
        <f>C104-C91</f>
        <v>13.646062396723273</v>
      </c>
      <c r="D105" s="4"/>
      <c r="E105" s="4"/>
      <c r="F105" s="4"/>
      <c r="G105" s="4"/>
      <c r="H105" s="4"/>
      <c r="I105" s="4"/>
      <c r="J105" s="4"/>
      <c r="K105" s="4"/>
      <c r="L105" s="4"/>
      <c r="M105" s="4"/>
      <c r="N105" s="4"/>
      <c r="O105" s="4"/>
      <c r="P105" s="132"/>
      <c r="Q105" s="82"/>
      <c r="R105" s="82"/>
      <c r="S105" s="82"/>
      <c r="T105" s="82"/>
      <c r="U105" s="82"/>
      <c r="V105" s="82"/>
      <c r="W105" s="82"/>
      <c r="X105" s="82"/>
      <c r="Y105" s="82"/>
      <c r="Z105" s="82"/>
      <c r="AA105" s="82"/>
      <c r="AB105" s="82"/>
      <c r="AC105" s="82"/>
      <c r="AD105" s="82"/>
      <c r="AE105" s="82"/>
    </row>
    <row r="106" spans="2:31" ht="18" x14ac:dyDescent="0.35">
      <c r="B106" s="340" t="s">
        <v>229</v>
      </c>
      <c r="C106" s="343">
        <f>(AVERAGE(E28:N28)*('Model input'!$E$79/'Model input'!$D$79)*'Model input'!$C$71+AVERAGE(F57:O57)*'Model input'!$D$71)/('Model input'!$C$71+'Model input'!$D$71)/'Model input'!$C$63</f>
        <v>8.1292786747415961E-3</v>
      </c>
      <c r="D106" s="4"/>
      <c r="E106" s="4"/>
      <c r="F106" s="4"/>
      <c r="G106" s="4"/>
      <c r="H106" s="4"/>
      <c r="I106" s="4"/>
      <c r="J106" s="4"/>
      <c r="K106" s="4"/>
      <c r="L106" s="4"/>
      <c r="M106" s="4"/>
      <c r="N106" s="4"/>
      <c r="O106" s="4"/>
      <c r="P106" s="132"/>
      <c r="Q106" s="82"/>
      <c r="R106" s="82"/>
      <c r="S106" s="82"/>
      <c r="T106" s="82"/>
      <c r="U106" s="82"/>
      <c r="V106" s="82"/>
      <c r="W106" s="82"/>
      <c r="X106" s="82"/>
      <c r="Y106" s="82"/>
      <c r="Z106" s="82"/>
      <c r="AA106" s="82"/>
      <c r="AB106" s="82"/>
      <c r="AC106" s="82"/>
      <c r="AD106" s="82"/>
      <c r="AE106" s="82"/>
    </row>
    <row r="107" spans="2:31" x14ac:dyDescent="0.3">
      <c r="B107" s="346"/>
      <c r="C107" s="4"/>
      <c r="D107" s="4"/>
      <c r="E107" s="4"/>
      <c r="F107" s="4"/>
      <c r="G107" s="4"/>
      <c r="H107" s="4"/>
      <c r="I107" s="4"/>
      <c r="J107" s="4"/>
      <c r="K107" s="4"/>
      <c r="L107" s="4"/>
      <c r="M107" s="4"/>
      <c r="N107" s="4"/>
      <c r="O107" s="4"/>
      <c r="P107" s="6"/>
      <c r="Q107" s="4"/>
      <c r="R107" s="4"/>
      <c r="S107" s="4"/>
      <c r="T107" s="4"/>
      <c r="U107" s="4"/>
      <c r="V107" s="4"/>
      <c r="W107" s="4"/>
      <c r="X107" s="4"/>
      <c r="Y107" s="4"/>
      <c r="Z107" s="4"/>
      <c r="AA107" s="4"/>
      <c r="AB107" s="4"/>
      <c r="AC107" s="4"/>
      <c r="AD107" s="4"/>
      <c r="AE107" s="4"/>
    </row>
    <row r="108" spans="2:31" ht="17.399999999999999" customHeight="1" x14ac:dyDescent="0.35">
      <c r="B108" s="331" t="s">
        <v>231</v>
      </c>
      <c r="C108" s="27"/>
      <c r="D108" s="28"/>
      <c r="E108" s="29"/>
      <c r="F108" s="29"/>
      <c r="G108" s="29"/>
      <c r="H108" s="29"/>
      <c r="I108" s="29"/>
      <c r="J108" s="29"/>
      <c r="K108" s="29"/>
      <c r="L108" s="29"/>
      <c r="M108" s="29"/>
      <c r="N108" s="29"/>
      <c r="O108" s="29"/>
      <c r="P108" s="6"/>
      <c r="Q108" s="4"/>
      <c r="R108" s="4"/>
      <c r="S108" s="4"/>
      <c r="T108" s="4"/>
      <c r="U108" s="4"/>
      <c r="V108" s="4"/>
      <c r="W108" s="4"/>
      <c r="X108" s="4"/>
      <c r="Y108" s="4"/>
      <c r="Z108" s="4"/>
      <c r="AA108" s="4"/>
      <c r="AB108" s="4"/>
      <c r="AC108" s="4"/>
      <c r="AD108" s="4"/>
      <c r="AE108" s="4"/>
    </row>
    <row r="109" spans="2:31" ht="15.6" x14ac:dyDescent="0.3">
      <c r="B109" s="347"/>
      <c r="C109" s="4"/>
      <c r="D109" s="4"/>
      <c r="E109" s="4"/>
      <c r="F109" s="4"/>
      <c r="G109" s="4"/>
      <c r="H109" s="4"/>
      <c r="I109" s="4"/>
      <c r="J109" s="4"/>
      <c r="K109" s="4"/>
      <c r="L109" s="4"/>
      <c r="M109" s="4"/>
      <c r="N109" s="4"/>
      <c r="O109" s="4"/>
      <c r="P109" s="6"/>
      <c r="Q109" s="4"/>
      <c r="R109" s="4"/>
      <c r="S109" s="4"/>
      <c r="T109" s="4"/>
      <c r="U109" s="4"/>
      <c r="V109" s="4"/>
      <c r="W109" s="4"/>
      <c r="X109" s="4"/>
      <c r="Y109" s="4"/>
      <c r="Z109" s="4"/>
      <c r="AA109" s="4"/>
      <c r="AB109" s="4"/>
      <c r="AC109" s="4"/>
      <c r="AD109" s="4"/>
      <c r="AE109" s="4"/>
    </row>
    <row r="110" spans="2:31" ht="18" x14ac:dyDescent="0.35">
      <c r="B110" s="348" t="s">
        <v>155</v>
      </c>
      <c r="C110" s="349">
        <f>C96/C88</f>
        <v>1.3052352752379031</v>
      </c>
      <c r="D110" s="4" t="s">
        <v>156</v>
      </c>
      <c r="E110" s="4"/>
      <c r="F110" s="4"/>
      <c r="G110" s="4"/>
      <c r="H110" s="4"/>
      <c r="I110" s="4"/>
      <c r="J110" s="4"/>
      <c r="K110" s="4"/>
      <c r="L110" s="4"/>
      <c r="M110" s="4"/>
      <c r="N110" s="4"/>
      <c r="O110" s="4"/>
      <c r="P110" s="6"/>
      <c r="Q110" s="4"/>
      <c r="R110" s="4"/>
      <c r="S110" s="4"/>
      <c r="T110" s="4"/>
      <c r="U110" s="4"/>
      <c r="V110" s="4"/>
      <c r="W110" s="4"/>
      <c r="X110" s="4"/>
      <c r="Y110" s="4"/>
      <c r="Z110" s="4"/>
      <c r="AA110" s="4"/>
      <c r="AB110" s="4"/>
      <c r="AC110" s="4"/>
      <c r="AD110" s="4"/>
      <c r="AE110" s="4"/>
    </row>
    <row r="111" spans="2:31" ht="18" x14ac:dyDescent="0.35">
      <c r="B111" s="348" t="s">
        <v>157</v>
      </c>
      <c r="C111" s="349">
        <f>C98/C89</f>
        <v>1.1233607568004944</v>
      </c>
      <c r="D111" s="4"/>
      <c r="E111" s="4"/>
      <c r="F111" s="4"/>
      <c r="G111" s="4"/>
      <c r="H111" s="4"/>
      <c r="I111" s="4"/>
      <c r="J111" s="4"/>
      <c r="K111" s="4"/>
      <c r="L111" s="4"/>
      <c r="M111" s="4"/>
      <c r="N111" s="4"/>
      <c r="O111" s="4"/>
      <c r="P111" s="6"/>
      <c r="Q111" s="4"/>
      <c r="R111" s="4"/>
      <c r="S111" s="4"/>
      <c r="T111" s="4"/>
      <c r="U111" s="4"/>
      <c r="V111" s="4"/>
      <c r="W111" s="4"/>
      <c r="X111" s="4"/>
      <c r="Y111" s="4"/>
      <c r="Z111" s="4"/>
      <c r="AA111" s="4"/>
      <c r="AB111" s="4"/>
      <c r="AC111" s="4"/>
      <c r="AD111" s="4"/>
      <c r="AE111" s="4"/>
    </row>
    <row r="112" spans="2:31" ht="18" x14ac:dyDescent="0.35">
      <c r="B112" s="350" t="s">
        <v>26</v>
      </c>
      <c r="C112" s="351">
        <f>C100/C90</f>
        <v>1.1861025860905248</v>
      </c>
      <c r="D112" s="4"/>
      <c r="E112" s="4"/>
      <c r="F112" s="4"/>
      <c r="G112" s="4"/>
      <c r="H112" s="4"/>
      <c r="I112" s="4"/>
      <c r="J112" s="4"/>
      <c r="K112" s="4"/>
      <c r="L112" s="4"/>
      <c r="M112" s="4"/>
      <c r="N112" s="4"/>
      <c r="O112" s="4"/>
      <c r="P112" s="6"/>
      <c r="Q112" s="4"/>
      <c r="R112" s="4"/>
      <c r="S112" s="4"/>
      <c r="T112" s="4"/>
      <c r="U112" s="4"/>
      <c r="V112" s="4"/>
      <c r="W112" s="4"/>
      <c r="X112" s="4"/>
      <c r="Y112" s="4"/>
      <c r="Z112" s="4"/>
      <c r="AA112" s="4"/>
      <c r="AB112" s="4"/>
      <c r="AC112" s="4"/>
      <c r="AD112" s="4"/>
      <c r="AE112" s="4"/>
    </row>
    <row r="113" spans="1:31" x14ac:dyDescent="0.3">
      <c r="A113" s="261"/>
      <c r="B113" s="275"/>
      <c r="C113" s="5"/>
      <c r="D113" s="5"/>
      <c r="E113" s="5"/>
      <c r="F113" s="5"/>
      <c r="G113" s="5"/>
      <c r="H113" s="5"/>
      <c r="I113" s="5"/>
      <c r="J113" s="5"/>
      <c r="K113" s="5"/>
      <c r="L113" s="5"/>
      <c r="M113" s="5"/>
      <c r="N113" s="5"/>
      <c r="O113" s="5"/>
      <c r="P113" s="6"/>
      <c r="Q113" s="4"/>
      <c r="R113" s="4"/>
      <c r="S113" s="4"/>
      <c r="T113" s="4"/>
      <c r="U113" s="4"/>
      <c r="V113" s="4"/>
      <c r="W113" s="4"/>
      <c r="X113" s="4"/>
      <c r="Y113" s="4"/>
      <c r="Z113" s="4"/>
      <c r="AA113" s="4"/>
      <c r="AB113" s="4"/>
      <c r="AC113" s="4"/>
      <c r="AD113" s="4"/>
      <c r="AE113" s="4"/>
    </row>
  </sheetData>
  <mergeCells count="4">
    <mergeCell ref="B5:B13"/>
    <mergeCell ref="B14:B27"/>
    <mergeCell ref="B34:B42"/>
    <mergeCell ref="B43:B56"/>
  </mergeCells>
  <phoneticPr fontId="15" type="noConversion"/>
  <conditionalFormatting sqref="C1:AE1 B2:AE2 C3:Q3 R3:AD15 AE3:AE16 P4:Q4 B5:Q16 B17:AE30 B31:Q31 AE31:AE43 C32:Q32 R32:AD43 P33:Q33 B34:Q43 B44:AE61 C62:AE62 B63:AE63 P64:AE64 B65:AE69 C70:AE70 B71:AE71 C72:AE72 I73:AE73 B74:AE79 C80:AE80 J81:AE81 B82:AE93 C94:AE94 B95:AE107 C108:AE108 B109:AE113">
    <cfRule type="cellIs" dxfId="0" priority="1" operator="lessThan">
      <formula>0</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A289-6F05-48A5-BC7F-BA302E15D8F6}">
  <dimension ref="A1:O76"/>
  <sheetViews>
    <sheetView showGridLines="0" zoomScaleNormal="100" workbookViewId="0">
      <selection activeCell="C8" sqref="C8"/>
    </sheetView>
  </sheetViews>
  <sheetFormatPr defaultColWidth="9.44140625" defaultRowHeight="14.4" x14ac:dyDescent="0.3"/>
  <cols>
    <col min="1" max="1" width="5.6640625" customWidth="1"/>
    <col min="2" max="2" width="48.44140625" customWidth="1"/>
    <col min="3" max="3" width="15.5546875" customWidth="1"/>
    <col min="4" max="4" width="9.6640625" customWidth="1"/>
    <col min="5" max="5" width="15.5546875" customWidth="1"/>
    <col min="6" max="6" width="9.44140625" customWidth="1"/>
    <col min="7" max="7" width="8.88671875" customWidth="1"/>
    <col min="8" max="8" width="10.109375" customWidth="1"/>
    <col min="9" max="9" width="9.109375" customWidth="1"/>
    <col min="10" max="10" width="8.88671875" customWidth="1"/>
    <col min="11" max="11" width="10" customWidth="1"/>
    <col min="12" max="12" width="7.5546875" customWidth="1"/>
    <col min="13" max="13" width="5.88671875" customWidth="1"/>
  </cols>
  <sheetData>
    <row r="1" spans="1:15" ht="18" x14ac:dyDescent="0.35">
      <c r="A1" s="4"/>
      <c r="B1" s="273" t="s">
        <v>271</v>
      </c>
      <c r="C1" s="3"/>
      <c r="D1" s="3"/>
      <c r="E1" s="3"/>
      <c r="F1" s="3"/>
      <c r="G1" s="3"/>
      <c r="H1" s="3"/>
      <c r="I1" s="3"/>
      <c r="J1" s="3"/>
      <c r="K1" s="3"/>
      <c r="L1" s="3"/>
      <c r="M1" s="3"/>
      <c r="N1" s="3"/>
      <c r="O1" s="237"/>
    </row>
    <row r="2" spans="1:15" x14ac:dyDescent="0.3">
      <c r="A2" s="4"/>
      <c r="B2" s="274" t="s">
        <v>203</v>
      </c>
      <c r="C2" s="4"/>
      <c r="D2" s="4"/>
      <c r="E2" s="4"/>
      <c r="J2" s="4"/>
      <c r="K2" s="4"/>
      <c r="L2" s="4"/>
      <c r="M2" s="4"/>
      <c r="N2" s="4"/>
      <c r="O2" s="238"/>
    </row>
    <row r="3" spans="1:15" x14ac:dyDescent="0.3">
      <c r="A3" s="4"/>
      <c r="B3" s="5"/>
      <c r="C3" s="4"/>
      <c r="D3" s="4"/>
      <c r="E3" s="4"/>
      <c r="J3" s="4"/>
      <c r="K3" s="4"/>
      <c r="L3" s="4"/>
      <c r="M3" s="4"/>
      <c r="N3" s="4"/>
      <c r="O3" s="238"/>
    </row>
    <row r="4" spans="1:15" x14ac:dyDescent="0.3">
      <c r="A4" s="4"/>
      <c r="B4" s="8" t="s">
        <v>204</v>
      </c>
      <c r="C4" s="8" t="s">
        <v>70</v>
      </c>
      <c r="D4" s="8" t="s">
        <v>205</v>
      </c>
      <c r="E4" s="7" t="s">
        <v>206</v>
      </c>
      <c r="J4" s="4"/>
      <c r="K4" s="4"/>
      <c r="L4" s="4"/>
      <c r="M4" s="4"/>
      <c r="N4" s="4"/>
      <c r="O4" s="238"/>
    </row>
    <row r="5" spans="1:15" x14ac:dyDescent="0.3">
      <c r="A5" s="4"/>
      <c r="B5" s="9" t="s">
        <v>207</v>
      </c>
      <c r="C5" s="352">
        <v>0.1</v>
      </c>
      <c r="D5" s="10">
        <v>0.1</v>
      </c>
      <c r="E5" s="354" t="s">
        <v>208</v>
      </c>
      <c r="J5" s="4"/>
      <c r="K5" s="4"/>
      <c r="L5" s="4"/>
      <c r="M5" s="4"/>
      <c r="N5" s="4"/>
      <c r="O5" s="238"/>
    </row>
    <row r="6" spans="1:15" x14ac:dyDescent="0.3">
      <c r="A6" s="4"/>
      <c r="B6" s="223" t="s">
        <v>253</v>
      </c>
      <c r="C6" s="353">
        <v>0.1</v>
      </c>
      <c r="D6" s="196">
        <v>0.1</v>
      </c>
      <c r="E6" s="195" t="s">
        <v>238</v>
      </c>
      <c r="J6" s="4"/>
      <c r="K6" s="4"/>
      <c r="L6" s="4"/>
      <c r="M6" s="4"/>
      <c r="N6" s="4"/>
      <c r="O6" s="238"/>
    </row>
    <row r="7" spans="1:15" x14ac:dyDescent="0.3">
      <c r="A7" s="4"/>
      <c r="B7" s="219" t="s">
        <v>251</v>
      </c>
      <c r="C7" s="352">
        <v>0</v>
      </c>
      <c r="D7" s="10">
        <v>0</v>
      </c>
      <c r="E7" s="219" t="s">
        <v>238</v>
      </c>
      <c r="J7" s="4"/>
      <c r="K7" s="4"/>
      <c r="L7" s="4"/>
      <c r="M7" s="4"/>
      <c r="N7" s="4"/>
      <c r="O7" s="238"/>
    </row>
    <row r="8" spans="1:15" x14ac:dyDescent="0.3">
      <c r="A8" s="4"/>
      <c r="B8" s="208" t="s">
        <v>247</v>
      </c>
      <c r="C8" s="352">
        <v>1</v>
      </c>
      <c r="D8" s="10">
        <v>1</v>
      </c>
      <c r="E8" s="203" t="s">
        <v>244</v>
      </c>
      <c r="J8" s="4"/>
      <c r="K8" s="4"/>
      <c r="L8" s="4"/>
      <c r="M8" s="4"/>
      <c r="N8" s="4"/>
      <c r="O8" s="238"/>
    </row>
    <row r="9" spans="1:15" x14ac:dyDescent="0.3">
      <c r="A9" s="4"/>
      <c r="B9" s="205" t="s">
        <v>246</v>
      </c>
      <c r="C9" s="352">
        <v>-7.0000000000000007E-2</v>
      </c>
      <c r="D9" s="10">
        <v>-7.2999999999999995E-2</v>
      </c>
      <c r="E9" s="205" t="s">
        <v>238</v>
      </c>
      <c r="J9" s="4"/>
      <c r="K9" s="4"/>
      <c r="L9" s="4"/>
      <c r="M9" s="4"/>
      <c r="N9" s="4"/>
      <c r="O9" s="238"/>
    </row>
    <row r="10" spans="1:15" x14ac:dyDescent="0.3">
      <c r="A10" s="4"/>
      <c r="B10" s="276" t="s">
        <v>239</v>
      </c>
      <c r="C10" s="352">
        <v>0.17</v>
      </c>
      <c r="D10" s="10">
        <v>0.16500000000000001</v>
      </c>
      <c r="E10" s="197" t="s">
        <v>293</v>
      </c>
      <c r="J10" s="4"/>
      <c r="K10" s="4"/>
      <c r="L10" s="4"/>
      <c r="M10" s="4"/>
      <c r="N10" s="4"/>
      <c r="O10" s="238"/>
    </row>
    <row r="11" spans="1:15" x14ac:dyDescent="0.3">
      <c r="A11" s="6"/>
      <c r="B11" s="275"/>
      <c r="C11" s="4"/>
      <c r="D11" s="4"/>
      <c r="E11" s="4"/>
      <c r="F11" s="4"/>
      <c r="G11" s="4"/>
      <c r="H11" s="4"/>
      <c r="I11" s="4"/>
      <c r="J11" s="4"/>
      <c r="K11" s="4"/>
      <c r="L11" s="4"/>
      <c r="M11" s="4"/>
      <c r="N11" s="4"/>
      <c r="O11" s="238"/>
    </row>
    <row r="12" spans="1:15" x14ac:dyDescent="0.3">
      <c r="A12" s="6"/>
      <c r="B12" s="277" t="s">
        <v>274</v>
      </c>
      <c r="C12" s="68">
        <f>SROI!C112</f>
        <v>1.1861025860905248</v>
      </c>
      <c r="D12" s="4"/>
      <c r="E12" s="4"/>
      <c r="F12" s="4"/>
      <c r="G12" s="4"/>
      <c r="H12" s="4"/>
      <c r="I12" s="4"/>
      <c r="J12" s="4"/>
      <c r="K12" s="4"/>
      <c r="L12" s="4"/>
      <c r="M12" s="4"/>
      <c r="N12" s="4"/>
      <c r="O12" s="238"/>
    </row>
    <row r="13" spans="1:15" x14ac:dyDescent="0.3">
      <c r="A13" s="6"/>
      <c r="B13" s="390"/>
      <c r="C13" s="390"/>
      <c r="D13" s="4"/>
      <c r="E13" s="4"/>
      <c r="F13" s="4"/>
      <c r="G13" s="4"/>
      <c r="H13" s="391"/>
      <c r="I13" s="391"/>
      <c r="J13" s="391"/>
      <c r="K13" s="391"/>
      <c r="L13" s="391"/>
      <c r="M13" s="4"/>
      <c r="N13" s="4"/>
      <c r="O13" s="238"/>
    </row>
    <row r="14" spans="1:15" x14ac:dyDescent="0.3">
      <c r="A14" s="6"/>
      <c r="B14" s="263"/>
      <c r="M14" s="4"/>
      <c r="N14" s="4"/>
      <c r="O14" s="238"/>
    </row>
    <row r="15" spans="1:15" x14ac:dyDescent="0.3">
      <c r="A15" s="4"/>
      <c r="B15" s="263" t="s">
        <v>207</v>
      </c>
      <c r="C15" t="s">
        <v>25</v>
      </c>
      <c r="D15" s="239" t="s">
        <v>240</v>
      </c>
      <c r="E15" t="s">
        <v>240</v>
      </c>
      <c r="F15" t="s">
        <v>25</v>
      </c>
      <c r="K15" s="239" t="s">
        <v>240</v>
      </c>
      <c r="L15" s="239" t="s">
        <v>25</v>
      </c>
      <c r="M15" s="4"/>
      <c r="N15" s="4"/>
      <c r="O15" s="238"/>
    </row>
    <row r="16" spans="1:15" x14ac:dyDescent="0.3">
      <c r="A16" s="4"/>
      <c r="B16" s="263">
        <v>0</v>
      </c>
      <c r="C16" s="240">
        <v>1.93</v>
      </c>
      <c r="D16" s="239" t="str">
        <f>"0%"</f>
        <v>0%</v>
      </c>
      <c r="E16" s="241">
        <v>0</v>
      </c>
      <c r="F16" s="240">
        <v>0.98</v>
      </c>
      <c r="K16" s="242">
        <v>0</v>
      </c>
      <c r="L16" s="239">
        <v>0.98</v>
      </c>
      <c r="M16" s="4"/>
      <c r="N16" s="4"/>
      <c r="O16" s="238"/>
    </row>
    <row r="17" spans="1:15" x14ac:dyDescent="0.3">
      <c r="A17" s="4"/>
      <c r="B17" s="263">
        <v>0.05</v>
      </c>
      <c r="C17" s="240">
        <v>1.5</v>
      </c>
      <c r="D17" s="239" t="str">
        <f>"10%"</f>
        <v>10%</v>
      </c>
      <c r="E17" s="241">
        <v>0.1</v>
      </c>
      <c r="F17" s="240">
        <v>1.0900000000000001</v>
      </c>
      <c r="K17" s="242">
        <v>0.1</v>
      </c>
      <c r="L17" s="239">
        <v>1.0900000000000001</v>
      </c>
      <c r="M17" s="4"/>
      <c r="N17" s="4"/>
      <c r="O17" s="238"/>
    </row>
    <row r="18" spans="1:15" x14ac:dyDescent="0.3">
      <c r="A18" s="4"/>
      <c r="B18" s="263">
        <v>0.1</v>
      </c>
      <c r="C18" s="240">
        <v>1.18</v>
      </c>
      <c r="D18" s="239" t="str">
        <f>"17%"</f>
        <v>17%</v>
      </c>
      <c r="E18" s="241">
        <v>0.17</v>
      </c>
      <c r="F18" s="240">
        <v>1.18</v>
      </c>
      <c r="K18" s="242">
        <v>0.17</v>
      </c>
      <c r="L18" s="239">
        <v>1.18</v>
      </c>
      <c r="M18" s="4"/>
      <c r="N18" s="4"/>
      <c r="O18" s="238"/>
    </row>
    <row r="19" spans="1:15" x14ac:dyDescent="0.3">
      <c r="A19" s="4"/>
      <c r="B19" s="263">
        <v>0.15</v>
      </c>
      <c r="C19" s="240">
        <v>0.95</v>
      </c>
      <c r="M19" s="4"/>
      <c r="N19" s="4"/>
      <c r="O19" s="238"/>
    </row>
    <row r="20" spans="1:15" ht="43.2" customHeight="1" x14ac:dyDescent="0.3">
      <c r="A20" s="4"/>
      <c r="B20" s="263"/>
      <c r="M20" s="4"/>
      <c r="N20" s="4"/>
      <c r="O20" s="238"/>
    </row>
    <row r="21" spans="1:15" x14ac:dyDescent="0.3">
      <c r="A21" s="4"/>
      <c r="B21" s="263"/>
      <c r="D21" s="4"/>
      <c r="E21" s="4"/>
      <c r="F21" s="4"/>
      <c r="G21" s="243"/>
      <c r="H21" s="4"/>
      <c r="I21" s="4"/>
      <c r="J21" s="4"/>
      <c r="K21" s="4"/>
      <c r="L21" s="4"/>
      <c r="M21" s="4"/>
      <c r="N21" s="4"/>
      <c r="O21" s="238"/>
    </row>
    <row r="22" spans="1:15" ht="6.75" customHeight="1" x14ac:dyDescent="0.3">
      <c r="A22" s="4"/>
      <c r="B22" s="263"/>
      <c r="D22" s="4"/>
      <c r="E22" s="4"/>
      <c r="F22" s="4"/>
      <c r="G22" s="4"/>
      <c r="H22" s="4"/>
      <c r="I22" s="4"/>
      <c r="J22" s="4"/>
      <c r="K22" s="4"/>
      <c r="L22" s="4"/>
      <c r="M22" s="4"/>
      <c r="N22" s="4"/>
      <c r="O22" s="238"/>
    </row>
    <row r="23" spans="1:15" ht="12.75" customHeight="1" x14ac:dyDescent="0.3">
      <c r="A23" s="4"/>
      <c r="B23" s="264" t="s">
        <v>241</v>
      </c>
      <c r="D23" s="4"/>
      <c r="E23" s="4"/>
      <c r="F23" s="4"/>
      <c r="G23" s="4"/>
      <c r="H23" s="4"/>
      <c r="I23" s="4"/>
      <c r="J23" s="4"/>
      <c r="K23" s="4"/>
      <c r="L23" s="4"/>
      <c r="M23" s="4"/>
      <c r="N23" s="4"/>
      <c r="O23" s="238"/>
    </row>
    <row r="24" spans="1:15" x14ac:dyDescent="0.3">
      <c r="A24" s="4"/>
      <c r="B24" s="264" t="s">
        <v>242</v>
      </c>
      <c r="D24" s="4"/>
      <c r="E24" s="4"/>
      <c r="F24" s="4"/>
      <c r="G24" s="4"/>
      <c r="H24" s="4"/>
      <c r="I24" s="4"/>
      <c r="J24" s="4"/>
      <c r="K24" s="4"/>
      <c r="L24" s="4"/>
      <c r="M24" s="4"/>
      <c r="N24" s="4"/>
      <c r="O24" s="238"/>
    </row>
    <row r="25" spans="1:15" x14ac:dyDescent="0.3">
      <c r="A25" s="4"/>
      <c r="B25" s="264"/>
      <c r="D25" s="4"/>
      <c r="E25" s="4"/>
      <c r="F25" s="4"/>
      <c r="G25" s="4"/>
      <c r="H25" s="4"/>
      <c r="I25" s="4"/>
      <c r="J25" s="4"/>
      <c r="K25" s="4"/>
      <c r="L25" s="4"/>
      <c r="M25" s="4"/>
      <c r="N25" s="4"/>
      <c r="O25" s="238"/>
    </row>
    <row r="26" spans="1:15" x14ac:dyDescent="0.3">
      <c r="A26" s="6"/>
      <c r="B26" s="388" t="s">
        <v>255</v>
      </c>
      <c r="C26" s="389"/>
      <c r="D26" s="4"/>
      <c r="F26" s="393" t="s">
        <v>254</v>
      </c>
      <c r="G26" s="394"/>
      <c r="H26" s="394"/>
      <c r="I26" s="394"/>
      <c r="J26" s="394"/>
      <c r="K26" s="394"/>
      <c r="L26" s="4"/>
      <c r="M26" s="4"/>
      <c r="O26" s="238"/>
    </row>
    <row r="27" spans="1:15" ht="16.5" customHeight="1" x14ac:dyDescent="0.3">
      <c r="A27" s="6"/>
      <c r="B27" s="388"/>
      <c r="C27" s="389"/>
      <c r="E27" s="245">
        <f>C12</f>
        <v>1.1861025860905248</v>
      </c>
      <c r="F27" s="200">
        <v>0.05</v>
      </c>
      <c r="G27" s="201">
        <v>0.1</v>
      </c>
      <c r="H27" s="200">
        <v>0.15</v>
      </c>
      <c r="I27" s="200">
        <v>0.2</v>
      </c>
      <c r="J27" s="200">
        <v>0.25</v>
      </c>
      <c r="K27" s="200">
        <v>0.3</v>
      </c>
      <c r="L27" s="246"/>
      <c r="M27" s="4"/>
      <c r="N27" s="4"/>
      <c r="O27" s="238"/>
    </row>
    <row r="28" spans="1:15" ht="17.25" customHeight="1" x14ac:dyDescent="0.3">
      <c r="B28" s="388"/>
      <c r="C28" s="389"/>
      <c r="D28" s="385" t="s">
        <v>247</v>
      </c>
      <c r="E28" s="198">
        <v>0.5</v>
      </c>
      <c r="F28" s="247">
        <f t="dataTable" ref="F28:K33" dt2D="1" dtr="1" r1="C6" r2="C8"/>
        <v>-4.3839360746265384E-2</v>
      </c>
      <c r="G28" s="247">
        <v>6.3689967959402377E-2</v>
      </c>
      <c r="H28" s="247">
        <v>0.17121929666507016</v>
      </c>
      <c r="I28" s="247">
        <v>0.27874862537073797</v>
      </c>
      <c r="J28" s="247">
        <v>0.38627795407640581</v>
      </c>
      <c r="K28" s="247">
        <v>0.49380728278207353</v>
      </c>
      <c r="L28" s="246"/>
      <c r="M28" s="4"/>
      <c r="O28" s="248"/>
    </row>
    <row r="29" spans="1:15" x14ac:dyDescent="0.3">
      <c r="B29" s="388"/>
      <c r="C29" s="389"/>
      <c r="D29" s="392"/>
      <c r="E29" s="199">
        <v>0.6</v>
      </c>
      <c r="F29" s="247">
        <v>7.8051582349073736E-2</v>
      </c>
      <c r="G29" s="247">
        <v>0.18558091105474148</v>
      </c>
      <c r="H29" s="247">
        <v>0.29311023976040929</v>
      </c>
      <c r="I29" s="247">
        <v>0.40063956846607712</v>
      </c>
      <c r="J29" s="247">
        <v>0.50816889717174485</v>
      </c>
      <c r="K29" s="247">
        <v>0.61569822587741263</v>
      </c>
      <c r="L29" s="246"/>
      <c r="M29" s="4"/>
      <c r="O29" s="248"/>
    </row>
    <row r="30" spans="1:15" x14ac:dyDescent="0.3">
      <c r="B30" s="388"/>
      <c r="C30" s="389"/>
      <c r="D30" s="392"/>
      <c r="E30" s="198">
        <v>0.7</v>
      </c>
      <c r="F30" s="247">
        <v>0.25123831570985544</v>
      </c>
      <c r="G30" s="247">
        <v>0.35876764441552317</v>
      </c>
      <c r="H30" s="247">
        <v>0.46629697312119101</v>
      </c>
      <c r="I30" s="247">
        <v>0.5738263018268589</v>
      </c>
      <c r="J30" s="247">
        <v>0.68135563053252657</v>
      </c>
      <c r="K30" s="247">
        <v>0.78888495923819435</v>
      </c>
      <c r="L30" s="246"/>
      <c r="M30" s="4"/>
      <c r="O30" s="248"/>
    </row>
    <row r="31" spans="1:15" x14ac:dyDescent="0.3">
      <c r="B31" s="388"/>
      <c r="C31" s="389"/>
      <c r="D31" s="392"/>
      <c r="E31" s="224">
        <v>0.8</v>
      </c>
      <c r="F31" s="247">
        <v>0.47572083933608011</v>
      </c>
      <c r="G31" s="247">
        <v>0.5832501680417479</v>
      </c>
      <c r="H31" s="247">
        <v>0.69077949674741557</v>
      </c>
      <c r="I31" s="247">
        <v>0.79830882545308335</v>
      </c>
      <c r="J31" s="247">
        <v>0.90583815415875102</v>
      </c>
      <c r="K31" s="247">
        <v>1.0133674828644192</v>
      </c>
      <c r="L31" s="246"/>
      <c r="M31" s="4"/>
      <c r="O31" s="248"/>
    </row>
    <row r="32" spans="1:15" x14ac:dyDescent="0.3">
      <c r="B32" s="388"/>
      <c r="C32" s="389"/>
      <c r="D32" s="392"/>
      <c r="E32" s="198">
        <v>0.9</v>
      </c>
      <c r="F32" s="247">
        <v>0.75149915322774741</v>
      </c>
      <c r="G32" s="247">
        <v>0.85902848193341508</v>
      </c>
      <c r="H32" s="247">
        <v>0.96655781063908275</v>
      </c>
      <c r="I32" s="247">
        <v>1.0740871393447509</v>
      </c>
      <c r="J32" s="247">
        <v>1.1816164680504184</v>
      </c>
      <c r="K32" s="247">
        <v>1.2891457967560862</v>
      </c>
      <c r="L32" s="246"/>
      <c r="M32" s="4"/>
      <c r="O32" s="248"/>
    </row>
    <row r="33" spans="2:15" x14ac:dyDescent="0.3">
      <c r="B33" s="388"/>
      <c r="C33" s="389"/>
      <c r="D33" s="392"/>
      <c r="E33" s="225">
        <v>1</v>
      </c>
      <c r="F33" s="247">
        <v>1.078573257384857</v>
      </c>
      <c r="G33" s="247">
        <v>1.1861025860905248</v>
      </c>
      <c r="H33" s="247">
        <v>1.2936319147961926</v>
      </c>
      <c r="I33" s="247">
        <v>1.4011612435018603</v>
      </c>
      <c r="J33" s="247">
        <v>1.5086905722075283</v>
      </c>
      <c r="K33" s="247">
        <v>1.6162199009131961</v>
      </c>
      <c r="L33" s="246"/>
      <c r="M33" s="4"/>
      <c r="O33" s="248"/>
    </row>
    <row r="34" spans="2:15" x14ac:dyDescent="0.3">
      <c r="B34" s="265"/>
      <c r="C34" s="244"/>
      <c r="D34" s="249"/>
      <c r="E34" s="226"/>
      <c r="F34" s="247"/>
      <c r="G34" s="247"/>
      <c r="H34" s="247"/>
      <c r="I34" s="247"/>
      <c r="J34" s="247"/>
      <c r="K34" s="247"/>
      <c r="L34" s="4"/>
      <c r="M34" s="4"/>
      <c r="O34" s="248"/>
    </row>
    <row r="35" spans="2:15" x14ac:dyDescent="0.3">
      <c r="B35" s="266"/>
      <c r="C35" s="250"/>
      <c r="O35" s="248"/>
    </row>
    <row r="36" spans="2:15" x14ac:dyDescent="0.3">
      <c r="B36" s="397" t="s">
        <v>248</v>
      </c>
      <c r="C36" s="398"/>
      <c r="E36" s="395" t="s">
        <v>246</v>
      </c>
      <c r="F36" s="209" t="s">
        <v>25</v>
      </c>
      <c r="O36" s="248"/>
    </row>
    <row r="37" spans="2:15" x14ac:dyDescent="0.3">
      <c r="B37" s="397"/>
      <c r="C37" s="398"/>
      <c r="E37" s="396"/>
      <c r="F37" s="210">
        <f>C12</f>
        <v>1.1861025860905248</v>
      </c>
      <c r="O37" s="248"/>
    </row>
    <row r="38" spans="2:15" ht="15.6" customHeight="1" x14ac:dyDescent="0.3">
      <c r="B38" s="397"/>
      <c r="C38" s="398"/>
      <c r="D38" s="251"/>
      <c r="E38" s="211">
        <v>-0.15</v>
      </c>
      <c r="F38" s="214">
        <f t="dataTable" ref="F38:F45" dt2D="0" dtr="0" r1="C9" ca="1"/>
        <v>1.1195005118909838</v>
      </c>
      <c r="O38" s="248"/>
    </row>
    <row r="39" spans="2:15" x14ac:dyDescent="0.3">
      <c r="B39" s="397"/>
      <c r="C39" s="398"/>
      <c r="D39" s="251"/>
      <c r="E39" s="212">
        <v>-0.1</v>
      </c>
      <c r="F39" s="215">
        <v>1.1600561908929243</v>
      </c>
      <c r="O39" s="248"/>
    </row>
    <row r="40" spans="2:15" x14ac:dyDescent="0.3">
      <c r="B40" s="397"/>
      <c r="C40" s="398"/>
      <c r="D40" s="251"/>
      <c r="E40" s="213">
        <v>-7.2999999999999995E-2</v>
      </c>
      <c r="F40" s="216">
        <v>1.1834392800530378</v>
      </c>
      <c r="O40" s="248"/>
    </row>
    <row r="41" spans="2:15" x14ac:dyDescent="0.3">
      <c r="B41" s="397"/>
      <c r="C41" s="398"/>
      <c r="D41" s="251"/>
      <c r="E41" s="212">
        <v>-0.05</v>
      </c>
      <c r="F41" s="215">
        <v>1.2041933460864542</v>
      </c>
      <c r="O41" s="248"/>
    </row>
    <row r="42" spans="2:15" x14ac:dyDescent="0.3">
      <c r="B42" s="397"/>
      <c r="C42" s="398"/>
      <c r="D42" s="251"/>
      <c r="E42" s="212">
        <v>-0.03</v>
      </c>
      <c r="F42" s="215">
        <v>1.2228695857009393</v>
      </c>
      <c r="O42" s="248"/>
    </row>
    <row r="43" spans="2:15" x14ac:dyDescent="0.3">
      <c r="B43" s="397"/>
      <c r="C43" s="398"/>
      <c r="D43" s="251"/>
      <c r="E43" s="212">
        <v>0</v>
      </c>
      <c r="F43" s="215">
        <v>1.2519844388821488</v>
      </c>
      <c r="O43" s="248"/>
    </row>
    <row r="44" spans="2:15" x14ac:dyDescent="0.3">
      <c r="B44" s="397"/>
      <c r="C44" s="398"/>
      <c r="D44" s="251"/>
      <c r="E44" s="212">
        <v>0.03</v>
      </c>
      <c r="F44" s="215">
        <v>1.2824152164728924</v>
      </c>
      <c r="O44" s="248"/>
    </row>
    <row r="45" spans="2:15" x14ac:dyDescent="0.3">
      <c r="B45" s="397"/>
      <c r="C45" s="398"/>
      <c r="D45" s="251"/>
      <c r="E45" s="212">
        <v>0.1</v>
      </c>
      <c r="F45" s="215">
        <v>1.3584132198598933</v>
      </c>
      <c r="O45" s="248"/>
    </row>
    <row r="46" spans="2:15" x14ac:dyDescent="0.3">
      <c r="B46" s="267"/>
      <c r="C46" s="252"/>
      <c r="O46" s="248"/>
    </row>
    <row r="47" spans="2:15" ht="14.4" customHeight="1" x14ac:dyDescent="0.3">
      <c r="B47" s="388" t="s">
        <v>252</v>
      </c>
      <c r="C47" s="389"/>
      <c r="D47" s="253"/>
      <c r="E47" s="253"/>
      <c r="F47" s="387" t="s">
        <v>250</v>
      </c>
      <c r="G47" s="387"/>
      <c r="H47" s="387"/>
      <c r="I47" s="387"/>
      <c r="J47" s="387"/>
      <c r="K47" s="387"/>
      <c r="L47" s="387"/>
      <c r="O47" s="248"/>
    </row>
    <row r="48" spans="2:15" x14ac:dyDescent="0.3">
      <c r="B48" s="388"/>
      <c r="C48" s="389"/>
      <c r="D48" s="385" t="s">
        <v>247</v>
      </c>
      <c r="E48" s="254">
        <f>C12</f>
        <v>1.1861025860905248</v>
      </c>
      <c r="F48" s="220">
        <v>-0.3</v>
      </c>
      <c r="G48" s="220">
        <v>-0.2</v>
      </c>
      <c r="H48" s="220">
        <v>-0.1</v>
      </c>
      <c r="I48" s="221">
        <v>0</v>
      </c>
      <c r="J48" s="220">
        <v>0.1</v>
      </c>
      <c r="K48" s="220">
        <v>0.2</v>
      </c>
      <c r="L48" s="220">
        <v>0.3</v>
      </c>
      <c r="O48" s="248"/>
    </row>
    <row r="49" spans="2:15" x14ac:dyDescent="0.3">
      <c r="B49" s="388"/>
      <c r="C49" s="389"/>
      <c r="D49" s="386"/>
      <c r="E49" s="218">
        <v>0.5</v>
      </c>
      <c r="F49" s="255">
        <f t="dataTable" ref="F49:L54" dt2D="1" dtr="1" r1="C7" r2="C8" ca="1"/>
        <v>5.0629843473672088E-2</v>
      </c>
      <c r="G49" s="255">
        <v>5.4983218302248865E-2</v>
      </c>
      <c r="H49" s="255">
        <v>5.9336593130825628E-2</v>
      </c>
      <c r="I49" s="255">
        <v>6.3689967959402377E-2</v>
      </c>
      <c r="J49" s="255">
        <v>6.8043342787979175E-2</v>
      </c>
      <c r="K49" s="255">
        <v>7.2396717616555931E-2</v>
      </c>
      <c r="L49" s="255">
        <v>7.67500924451327E-2</v>
      </c>
      <c r="O49" s="248"/>
    </row>
    <row r="50" spans="2:15" x14ac:dyDescent="0.3">
      <c r="B50" s="388"/>
      <c r="C50" s="389"/>
      <c r="D50" s="386"/>
      <c r="E50" s="218">
        <v>0.6</v>
      </c>
      <c r="F50" s="255">
        <v>0.14092104770534813</v>
      </c>
      <c r="G50" s="255">
        <v>0.1558076688218126</v>
      </c>
      <c r="H50" s="255">
        <v>0.17069428993827707</v>
      </c>
      <c r="I50" s="255">
        <v>0.18558091105474148</v>
      </c>
      <c r="J50" s="255">
        <v>0.200467532171206</v>
      </c>
      <c r="K50" s="255">
        <v>0.21535415328767044</v>
      </c>
      <c r="L50" s="255">
        <v>0.2302407744041349</v>
      </c>
      <c r="O50" s="248"/>
    </row>
    <row r="51" spans="2:15" x14ac:dyDescent="0.3">
      <c r="B51" s="388"/>
      <c r="C51" s="389"/>
      <c r="D51" s="386"/>
      <c r="E51" s="218">
        <v>0.7</v>
      </c>
      <c r="F51" s="255">
        <v>0.27069087570815192</v>
      </c>
      <c r="G51" s="255">
        <v>0.30004979861060904</v>
      </c>
      <c r="H51" s="255">
        <v>0.32940872151306616</v>
      </c>
      <c r="I51" s="255">
        <v>0.35876764441552317</v>
      </c>
      <c r="J51" s="255">
        <v>0.38812656731798034</v>
      </c>
      <c r="K51" s="255">
        <v>0.41748549022043735</v>
      </c>
      <c r="L51" s="255">
        <v>0.44684441312289452</v>
      </c>
      <c r="O51" s="248"/>
    </row>
    <row r="52" spans="2:15" x14ac:dyDescent="0.3">
      <c r="B52" s="388"/>
      <c r="C52" s="389"/>
      <c r="D52" s="386"/>
      <c r="E52" s="218">
        <v>0.8</v>
      </c>
      <c r="F52" s="255">
        <v>0.43993932748208375</v>
      </c>
      <c r="G52" s="255">
        <v>0.48770960766863863</v>
      </c>
      <c r="H52" s="255">
        <v>0.53547988785519329</v>
      </c>
      <c r="I52" s="255">
        <v>0.5832501680417479</v>
      </c>
      <c r="J52" s="255">
        <v>0.63102044822830261</v>
      </c>
      <c r="K52" s="255">
        <v>0.67879072841485733</v>
      </c>
      <c r="L52" s="255">
        <v>0.72656100860141193</v>
      </c>
      <c r="O52" s="248"/>
    </row>
    <row r="53" spans="2:15" x14ac:dyDescent="0.3">
      <c r="B53" s="388"/>
      <c r="C53" s="389"/>
      <c r="D53" s="386"/>
      <c r="E53" s="218">
        <v>0.9</v>
      </c>
      <c r="F53" s="255">
        <v>0.6486664030271434</v>
      </c>
      <c r="G53" s="255">
        <v>0.71878709599590074</v>
      </c>
      <c r="H53" s="255">
        <v>0.78890778896465785</v>
      </c>
      <c r="I53" s="255">
        <v>0.85902848193341508</v>
      </c>
      <c r="J53" s="255">
        <v>0.92914917490217264</v>
      </c>
      <c r="K53" s="255">
        <v>0.99926986787092964</v>
      </c>
      <c r="L53" s="255">
        <v>1.0693905608396868</v>
      </c>
      <c r="O53" s="248"/>
    </row>
    <row r="54" spans="2:15" x14ac:dyDescent="0.3">
      <c r="B54" s="388"/>
      <c r="C54" s="389"/>
      <c r="D54" s="386"/>
      <c r="E54" s="222">
        <v>1</v>
      </c>
      <c r="F54" s="255">
        <v>0.89687210234333081</v>
      </c>
      <c r="G54" s="255">
        <v>0.99328226359239558</v>
      </c>
      <c r="H54" s="255">
        <v>1.0896924248414603</v>
      </c>
      <c r="I54" s="256">
        <v>1.1861025860905248</v>
      </c>
      <c r="J54" s="255">
        <v>1.2825127473395894</v>
      </c>
      <c r="K54" s="255">
        <v>1.3789229085886541</v>
      </c>
      <c r="L54" s="255">
        <v>1.4753330698377189</v>
      </c>
      <c r="O54" s="248"/>
    </row>
    <row r="55" spans="2:15" x14ac:dyDescent="0.3">
      <c r="B55" s="263"/>
      <c r="O55" s="248"/>
    </row>
    <row r="56" spans="2:15" x14ac:dyDescent="0.3">
      <c r="B56" s="378" t="s">
        <v>256</v>
      </c>
      <c r="C56" s="379"/>
      <c r="D56" s="379"/>
      <c r="E56" s="379"/>
      <c r="F56" s="379"/>
      <c r="G56" s="379"/>
      <c r="H56" s="379"/>
      <c r="I56" s="379"/>
      <c r="J56" s="379"/>
      <c r="K56" s="379"/>
      <c r="L56" s="379"/>
      <c r="M56" s="379"/>
      <c r="N56" s="379"/>
      <c r="O56" s="380"/>
    </row>
    <row r="57" spans="2:15" x14ac:dyDescent="0.3">
      <c r="B57" s="378"/>
      <c r="C57" s="379"/>
      <c r="D57" s="379"/>
      <c r="E57" s="379"/>
      <c r="F57" s="379"/>
      <c r="G57" s="379"/>
      <c r="H57" s="379"/>
      <c r="I57" s="379"/>
      <c r="J57" s="379"/>
      <c r="K57" s="379"/>
      <c r="L57" s="379"/>
      <c r="M57" s="379"/>
      <c r="N57" s="379"/>
      <c r="O57" s="380"/>
    </row>
    <row r="58" spans="2:15" x14ac:dyDescent="0.3">
      <c r="B58" s="271"/>
      <c r="C58" s="269"/>
      <c r="D58" s="269"/>
      <c r="E58" s="269"/>
      <c r="F58" s="269"/>
      <c r="G58" s="269"/>
      <c r="H58" s="269"/>
      <c r="I58" s="269"/>
      <c r="J58" s="269"/>
      <c r="K58" s="269"/>
      <c r="L58" s="269"/>
      <c r="M58" s="269"/>
      <c r="N58" s="269"/>
      <c r="O58" s="270"/>
    </row>
    <row r="59" spans="2:15" ht="18" x14ac:dyDescent="0.35">
      <c r="B59" s="232" t="s">
        <v>262</v>
      </c>
      <c r="C59" s="257"/>
      <c r="D59" s="258"/>
      <c r="E59" s="259"/>
      <c r="F59" s="259"/>
      <c r="G59" s="259"/>
      <c r="H59" s="259"/>
      <c r="I59" s="259"/>
      <c r="J59" s="259"/>
      <c r="K59" s="259"/>
      <c r="L59" s="259"/>
      <c r="M59" s="259"/>
      <c r="N59" s="259"/>
      <c r="O59" s="260"/>
    </row>
    <row r="60" spans="2:15" x14ac:dyDescent="0.3">
      <c r="B60" s="262" t="s">
        <v>261</v>
      </c>
      <c r="C60" s="234"/>
      <c r="D60" s="234"/>
      <c r="O60" s="248"/>
    </row>
    <row r="61" spans="2:15" ht="6" customHeight="1" x14ac:dyDescent="0.3">
      <c r="B61" s="268"/>
      <c r="C61" s="234"/>
      <c r="D61" s="234"/>
      <c r="O61" s="248"/>
    </row>
    <row r="62" spans="2:15" ht="14.4" customHeight="1" x14ac:dyDescent="0.3">
      <c r="B62" s="8" t="s">
        <v>204</v>
      </c>
      <c r="C62" s="8" t="s">
        <v>264</v>
      </c>
      <c r="D62" s="8" t="s">
        <v>205</v>
      </c>
      <c r="E62" s="8" t="s">
        <v>70</v>
      </c>
      <c r="G62" s="379" t="s">
        <v>266</v>
      </c>
      <c r="H62" s="379"/>
      <c r="I62" s="379"/>
      <c r="J62" s="379"/>
      <c r="K62" s="379"/>
      <c r="L62" s="379"/>
      <c r="M62" s="379"/>
      <c r="N62" s="379"/>
      <c r="O62" s="380"/>
    </row>
    <row r="63" spans="2:15" ht="28.95" customHeight="1" x14ac:dyDescent="0.3">
      <c r="B63" s="381" t="s">
        <v>263</v>
      </c>
      <c r="C63" s="235" t="s">
        <v>64</v>
      </c>
      <c r="D63" s="233">
        <v>0.12</v>
      </c>
      <c r="E63" s="233">
        <v>0.33</v>
      </c>
      <c r="G63" s="379"/>
      <c r="H63" s="379"/>
      <c r="I63" s="379"/>
      <c r="J63" s="379"/>
      <c r="K63" s="379"/>
      <c r="L63" s="379"/>
      <c r="M63" s="379"/>
      <c r="N63" s="379"/>
      <c r="O63" s="380"/>
    </row>
    <row r="64" spans="2:15" x14ac:dyDescent="0.3">
      <c r="B64" s="382"/>
      <c r="C64" s="235" t="s">
        <v>68</v>
      </c>
      <c r="D64" s="233">
        <v>0.11</v>
      </c>
      <c r="E64" s="233">
        <v>0.93</v>
      </c>
      <c r="G64" s="379"/>
      <c r="H64" s="379"/>
      <c r="I64" s="379"/>
      <c r="J64" s="379"/>
      <c r="K64" s="379"/>
      <c r="L64" s="379"/>
      <c r="M64" s="379"/>
      <c r="N64" s="379"/>
      <c r="O64" s="380"/>
    </row>
    <row r="65" spans="2:15" ht="28.95" customHeight="1" x14ac:dyDescent="0.3">
      <c r="B65" s="381" t="s">
        <v>265</v>
      </c>
      <c r="C65" s="235" t="s">
        <v>64</v>
      </c>
      <c r="D65" s="236">
        <v>10.9</v>
      </c>
      <c r="E65" s="236">
        <v>19</v>
      </c>
      <c r="G65" s="379"/>
      <c r="H65" s="379"/>
      <c r="I65" s="379"/>
      <c r="J65" s="379"/>
      <c r="K65" s="379"/>
      <c r="L65" s="379"/>
      <c r="M65" s="379"/>
      <c r="N65" s="379"/>
      <c r="O65" s="380"/>
    </row>
    <row r="66" spans="2:15" x14ac:dyDescent="0.3">
      <c r="B66" s="382"/>
      <c r="C66" s="235" t="s">
        <v>68</v>
      </c>
      <c r="D66" s="236">
        <v>24</v>
      </c>
      <c r="E66" s="236">
        <v>51</v>
      </c>
      <c r="F66" s="261"/>
      <c r="G66" s="383"/>
      <c r="H66" s="383"/>
      <c r="I66" s="383"/>
      <c r="J66" s="383"/>
      <c r="K66" s="383"/>
      <c r="L66" s="383"/>
      <c r="M66" s="383"/>
      <c r="N66" s="383"/>
      <c r="O66" s="384"/>
    </row>
    <row r="76" spans="2:15" x14ac:dyDescent="0.3">
      <c r="B76" s="204"/>
    </row>
  </sheetData>
  <scenarios current="0" show="0">
    <scenario name="SROI assuming different effect opersistency over time" locked="1" count="8" user="Wiegel, Sarah" comment="Created by Wiegel, Sarah on 30.06.2026">
      <inputCells r="E38" val="-0.15" numFmtId="9"/>
      <inputCells r="E39" val="-0.1" numFmtId="9"/>
      <inputCells r="E40" val="-0.073" numFmtId="9"/>
      <inputCells r="E41" val="-0.05" numFmtId="9"/>
      <inputCells r="E42" val="-0.03" numFmtId="9"/>
      <inputCells r="E43" val="0" numFmtId="9"/>
      <inputCells r="E44" val="0.03" numFmtId="9"/>
      <inputCells r="E45" val="0.1" numFmtId="9"/>
    </scenario>
  </scenarios>
  <mergeCells count="14">
    <mergeCell ref="F47:L47"/>
    <mergeCell ref="B47:C54"/>
    <mergeCell ref="B13:C13"/>
    <mergeCell ref="B26:C33"/>
    <mergeCell ref="H13:L13"/>
    <mergeCell ref="D28:D33"/>
    <mergeCell ref="F26:K26"/>
    <mergeCell ref="E36:E37"/>
    <mergeCell ref="B36:C45"/>
    <mergeCell ref="B56:O57"/>
    <mergeCell ref="B63:B64"/>
    <mergeCell ref="B65:B66"/>
    <mergeCell ref="G62:O66"/>
    <mergeCell ref="D48:D54"/>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A498F-4206-4358-BC9C-0CA760AAF2B2}">
  <dimension ref="A1:A11"/>
  <sheetViews>
    <sheetView showGridLines="0" topLeftCell="A21" workbookViewId="0">
      <selection activeCell="Q49" sqref="Q49"/>
    </sheetView>
  </sheetViews>
  <sheetFormatPr defaultColWidth="8.5546875" defaultRowHeight="14.4" x14ac:dyDescent="0.3"/>
  <sheetData>
    <row r="1" ht="44.25" customHeight="1" x14ac:dyDescent="0.3"/>
    <row r="2" ht="165.6" customHeight="1" x14ac:dyDescent="0.3"/>
    <row r="5" ht="72" customHeight="1" x14ac:dyDescent="0.3"/>
    <row r="11" ht="86.4" customHeight="1"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II xmlns="24dc8c7b-7b5d-4d41-8221-f7960f2ae5bd">false</PII>
    <TaxCatchAll xmlns="08b758c0-7f65-4904-9e43-345858c3c71c" xsi:nil="true"/>
    <lcf76f155ced4ddcb4097134ff3c332f xmlns="24dc8c7b-7b5d-4d41-8221-f7960f2ae5bd">
      <Terms xmlns="http://schemas.microsoft.com/office/infopath/2007/PartnerControls"/>
    </lcf76f155ced4ddcb4097134ff3c332f>
    <Thematic_x0020_Focus xmlns="08b758c0-7f65-4904-9e43-345858c3c71c" xsi:nil="true"/>
    <_Flow_SignoffStatus xmlns="24dc8c7b-7b5d-4d41-8221-f7960f2ae5bd" xsi:nil="true"/>
  </documentManagement>
</p:properties>
</file>

<file path=customXml/itemProps1.xml><?xml version="1.0" encoding="utf-8"?>
<ds:datastoreItem xmlns:ds="http://schemas.openxmlformats.org/officeDocument/2006/customXml" ds:itemID="{2EF3C797-708D-401B-8B0C-7FDBBBCC3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1654B7-EDE6-4B13-9FA9-C633AB2E69DC}">
  <ds:schemaRefs>
    <ds:schemaRef ds:uri="http://schemas.microsoft.com/sharepoint/v3/contenttype/forms"/>
  </ds:schemaRefs>
</ds:datastoreItem>
</file>

<file path=customXml/itemProps3.xml><?xml version="1.0" encoding="utf-8"?>
<ds:datastoreItem xmlns:ds="http://schemas.openxmlformats.org/officeDocument/2006/customXml" ds:itemID="{F37BAA00-E681-427E-9896-8CA93721CA48}">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24dc8c7b-7b5d-4d41-8221-f7960f2ae5bd"/>
    <ds:schemaRef ds:uri="08b758c0-7f65-4904-9e43-345858c3c71c"/>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Deckblatt</vt:lpstr>
      <vt:lpstr>Summary</vt:lpstr>
      <vt:lpstr>ToC</vt:lpstr>
      <vt:lpstr>Model input</vt:lpstr>
      <vt:lpstr>SROI</vt:lpstr>
      <vt:lpstr>Sensitivity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Voigt, Tobias</dc:creator>
  <cp:keywords/>
  <dc:description/>
  <cp:lastModifiedBy>Wiegel, Sarah</cp:lastModifiedBy>
  <cp:revision/>
  <dcterms:created xsi:type="dcterms:W3CDTF">2022-11-17T09:26:42Z</dcterms:created>
  <dcterms:modified xsi:type="dcterms:W3CDTF">2026-07-31T07:55:12Z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ies>
</file>