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TNS03/06 MEL/01_SROI/"/>
    </mc:Choice>
  </mc:AlternateContent>
  <xr:revisionPtr revIDLastSave="2298" documentId="8_{F79968F1-E157-4B81-8657-6696B163B119}" xr6:coauthVersionLast="47" xr6:coauthVersionMax="47" xr10:uidLastSave="{400BA859-410F-44CC-B7AA-BAE6B86F608E}"/>
  <bookViews>
    <workbookView xWindow="-110" yWindow="-110" windowWidth="19420" windowHeight="10300" tabRatio="635" xr2:uid="{D727DE2A-A20A-4F61-A634-FF4E86980CF5}"/>
  </bookViews>
  <sheets>
    <sheet name="Summary" sheetId="7" r:id="rId1"/>
    <sheet name="ToC" sheetId="9" r:id="rId2"/>
    <sheet name="Model input" sheetId="5" r:id="rId3"/>
    <sheet name="SROI" sheetId="2" r:id="rId4"/>
    <sheet name="Sensitivity Analysis" sheetId="10" r:id="rId5"/>
    <sheet name="Info" sheetId="8" r:id="rId6"/>
  </sheets>
  <definedNames>
    <definedName name="_xlnm._FilterDatabase" localSheetId="3" hidden="1">Summary!$F$46:$G$46</definedName>
    <definedName name="_xlnm.Print_Area" localSheetId="3">SROI!$B$1:$Y$103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5" l="1"/>
  <c r="C19" i="5"/>
  <c r="C17" i="5"/>
  <c r="D5" i="2"/>
  <c r="D71" i="5"/>
  <c r="E71" i="5" s="1"/>
  <c r="C13" i="5"/>
  <c r="D13" i="5" s="1"/>
  <c r="C11" i="5"/>
  <c r="E70" i="5"/>
  <c r="E72" i="5"/>
  <c r="C29" i="5"/>
  <c r="C41" i="5"/>
  <c r="H63" i="5"/>
  <c r="D83" i="2" l="1"/>
  <c r="D6" i="2"/>
  <c r="C25" i="7"/>
  <c r="C26" i="7" l="1"/>
  <c r="H83" i="2"/>
  <c r="G5" i="2" l="1"/>
  <c r="H5" i="2" s="1"/>
  <c r="I5" i="2" s="1"/>
  <c r="J5" i="2" s="1"/>
  <c r="K5" i="2" s="1"/>
  <c r="L5" i="2" s="1"/>
  <c r="M5" i="2" s="1"/>
  <c r="G83" i="2" l="1"/>
  <c r="F83" i="2"/>
  <c r="E83" i="2"/>
  <c r="J57" i="5" l="1"/>
  <c r="J56" i="5" s="1"/>
  <c r="K57" i="5"/>
  <c r="K56" i="5" s="1"/>
  <c r="I57" i="5"/>
  <c r="I56" i="5" s="1"/>
  <c r="H57" i="5"/>
  <c r="H56" i="5" s="1"/>
  <c r="G57" i="5"/>
  <c r="G56" i="5" s="1"/>
  <c r="F57" i="5"/>
  <c r="F56" i="5" s="1"/>
  <c r="E57" i="5"/>
  <c r="E56" i="5" s="1"/>
  <c r="D57" i="5"/>
  <c r="D56" i="5" s="1"/>
  <c r="C57" i="5"/>
  <c r="C56" i="5" s="1"/>
  <c r="N63" i="5"/>
  <c r="M63" i="5"/>
  <c r="L63" i="5"/>
  <c r="K63" i="5"/>
  <c r="J63" i="5"/>
  <c r="I63" i="5"/>
  <c r="Q45" i="2" l="1"/>
  <c r="Q44" i="2"/>
  <c r="R45" i="2" s="1"/>
  <c r="Q43" i="2"/>
  <c r="R44" i="2" s="1"/>
  <c r="S45" i="2" s="1"/>
  <c r="Q42" i="2"/>
  <c r="R43" i="2" s="1"/>
  <c r="S44" i="2" s="1"/>
  <c r="T45" i="2" s="1"/>
  <c r="Q41" i="2"/>
  <c r="R42" i="2" s="1"/>
  <c r="S43" i="2" s="1"/>
  <c r="T44" i="2" s="1"/>
  <c r="U45" i="2" s="1"/>
  <c r="Q40" i="2"/>
  <c r="R41" i="2" s="1"/>
  <c r="S42" i="2" s="1"/>
  <c r="T43" i="2" s="1"/>
  <c r="U44" i="2" s="1"/>
  <c r="V45" i="2" s="1"/>
  <c r="Q39" i="2"/>
  <c r="R40" i="2" s="1"/>
  <c r="S41" i="2" s="1"/>
  <c r="T42" i="2" s="1"/>
  <c r="U43" i="2" s="1"/>
  <c r="V44" i="2" s="1"/>
  <c r="W45" i="2" s="1"/>
  <c r="Q13" i="2"/>
  <c r="Q12" i="2"/>
  <c r="R13" i="2" s="1"/>
  <c r="Q11" i="2"/>
  <c r="R12" i="2" s="1"/>
  <c r="S13" i="2" s="1"/>
  <c r="Q10" i="2"/>
  <c r="R11" i="2" s="1"/>
  <c r="S12" i="2" s="1"/>
  <c r="T13" i="2" s="1"/>
  <c r="Q9" i="2"/>
  <c r="R10" i="2" s="1"/>
  <c r="S11" i="2" s="1"/>
  <c r="T12" i="2" s="1"/>
  <c r="U13" i="2" s="1"/>
  <c r="Q8" i="2"/>
  <c r="R9" i="2" s="1"/>
  <c r="S10" i="2" s="1"/>
  <c r="T11" i="2" s="1"/>
  <c r="U12" i="2" s="1"/>
  <c r="V13" i="2" s="1"/>
  <c r="Q7" i="2"/>
  <c r="R8" i="2" s="1"/>
  <c r="S9" i="2" s="1"/>
  <c r="T10" i="2" s="1"/>
  <c r="U11" i="2" s="1"/>
  <c r="V12" i="2" s="1"/>
  <c r="W13" i="2" s="1"/>
  <c r="C52" i="5" l="1"/>
  <c r="F52" i="5"/>
  <c r="D51" i="5"/>
  <c r="I51" i="5" s="1"/>
  <c r="E6" i="2" l="1"/>
  <c r="G51" i="5"/>
  <c r="O51" i="5"/>
  <c r="N51" i="5"/>
  <c r="H51" i="5"/>
  <c r="M51" i="5"/>
  <c r="L51" i="5"/>
  <c r="K51" i="5"/>
  <c r="J51" i="5"/>
  <c r="F65" i="5"/>
  <c r="G64" i="5"/>
  <c r="G65" i="5"/>
  <c r="G14" i="2" l="1"/>
  <c r="C65" i="5" l="1"/>
  <c r="D65" i="5"/>
  <c r="D9" i="2" s="1"/>
  <c r="E65" i="5"/>
  <c r="C64" i="5"/>
  <c r="D64" i="5"/>
  <c r="E64" i="5"/>
  <c r="F64" i="5"/>
  <c r="E22" i="2"/>
  <c r="E56" i="2" s="1"/>
  <c r="D37" i="2"/>
  <c r="D38" i="2" s="1"/>
  <c r="G47" i="2"/>
  <c r="H13" i="2"/>
  <c r="I13" i="2" s="1"/>
  <c r="J13" i="2" s="1"/>
  <c r="K13" i="2" s="1"/>
  <c r="L13" i="2" s="1"/>
  <c r="M13" i="2" s="1"/>
  <c r="H14" i="2"/>
  <c r="I14" i="2" s="1"/>
  <c r="J14" i="2" s="1"/>
  <c r="K14" i="2" s="1"/>
  <c r="L14" i="2" s="1"/>
  <c r="M14" i="2" s="1"/>
  <c r="D46" i="2"/>
  <c r="E46" i="2"/>
  <c r="F46" i="2" s="1"/>
  <c r="N76" i="2"/>
  <c r="J64" i="5" l="1"/>
  <c r="I64" i="5"/>
  <c r="H64" i="5"/>
  <c r="N64" i="5"/>
  <c r="M64" i="5"/>
  <c r="L64" i="5"/>
  <c r="K64" i="5"/>
  <c r="I65" i="5"/>
  <c r="H65" i="5"/>
  <c r="M65" i="5"/>
  <c r="L65" i="5"/>
  <c r="K65" i="5"/>
  <c r="J65" i="5"/>
  <c r="N65" i="5"/>
  <c r="H47" i="2"/>
  <c r="I47" i="2" l="1"/>
  <c r="H46" i="2"/>
  <c r="D84" i="2"/>
  <c r="D85" i="2" s="1"/>
  <c r="E37" i="2"/>
  <c r="F37" i="2" s="1"/>
  <c r="G37" i="2" s="1"/>
  <c r="H37" i="2" s="1"/>
  <c r="I37" i="2" s="1"/>
  <c r="J37" i="2" s="1"/>
  <c r="K37" i="2" s="1"/>
  <c r="L37" i="2" s="1"/>
  <c r="M37" i="2" s="1"/>
  <c r="E38" i="2" l="1"/>
  <c r="E41" i="2" s="1"/>
  <c r="I46" i="2"/>
  <c r="J47" i="2"/>
  <c r="K47" i="2" l="1"/>
  <c r="J46" i="2"/>
  <c r="D41" i="2"/>
  <c r="K46" i="2" l="1"/>
  <c r="L47" i="2"/>
  <c r="M47" i="2" l="1"/>
  <c r="L46" i="2"/>
  <c r="E52" i="5"/>
  <c r="E9" i="2"/>
  <c r="M46" i="2" l="1"/>
  <c r="F6" i="2" l="1"/>
  <c r="F9" i="2" s="1"/>
  <c r="F38" i="2"/>
  <c r="F41" i="2" s="1"/>
  <c r="G6" i="2" l="1"/>
  <c r="G9" i="2" s="1"/>
  <c r="G38" i="2"/>
  <c r="G41" i="2" s="1"/>
  <c r="H6" i="2"/>
  <c r="H38" i="2" l="1"/>
  <c r="H41" i="2" s="1"/>
  <c r="I6" i="2"/>
  <c r="I38" i="2" l="1"/>
  <c r="I41" i="2" s="1"/>
  <c r="J6" i="2"/>
  <c r="J38" i="2" l="1"/>
  <c r="J41" i="2" s="1"/>
  <c r="K6" i="2"/>
  <c r="K38" i="2" l="1"/>
  <c r="K41" i="2" s="1"/>
  <c r="L6" i="2"/>
  <c r="L38" i="2" l="1"/>
  <c r="L41" i="2" s="1"/>
  <c r="M38" i="2"/>
  <c r="M6" i="2"/>
  <c r="M41" i="2" l="1"/>
  <c r="F84" i="2" l="1"/>
  <c r="F85" i="2" s="1"/>
  <c r="G84" i="2"/>
  <c r="G85" i="2" s="1"/>
  <c r="C58" i="5" l="1"/>
  <c r="C59" i="5" s="1"/>
  <c r="D58" i="5"/>
  <c r="D59" i="5" s="1"/>
  <c r="E58" i="5"/>
  <c r="E59" i="5" s="1"/>
  <c r="F58" i="5"/>
  <c r="F59" i="5" s="1"/>
  <c r="G58" i="5"/>
  <c r="G59" i="5" s="1"/>
  <c r="H58" i="5"/>
  <c r="H59" i="5" s="1"/>
  <c r="I58" i="5"/>
  <c r="I59" i="5" s="1"/>
  <c r="J58" i="5"/>
  <c r="J59" i="5" s="1"/>
  <c r="K58" i="5"/>
  <c r="K59" i="5" s="1"/>
  <c r="D48" i="2" l="1"/>
  <c r="P37" i="2" s="1"/>
  <c r="Q38" i="2" s="1"/>
  <c r="R39" i="2" s="1"/>
  <c r="S40" i="2" s="1"/>
  <c r="T41" i="2" s="1"/>
  <c r="U42" i="2" l="1"/>
  <c r="V43" i="2" s="1"/>
  <c r="W44" i="2" s="1"/>
  <c r="X45" i="2" s="1"/>
  <c r="P46" i="2"/>
  <c r="D49" i="2" s="1"/>
  <c r="D50" i="2" s="1"/>
  <c r="D39" i="2"/>
  <c r="D40" i="2" s="1"/>
  <c r="D52" i="5" l="1"/>
  <c r="G52" i="5" l="1"/>
  <c r="O52" i="5"/>
  <c r="I52" i="5"/>
  <c r="J52" i="5"/>
  <c r="H52" i="5"/>
  <c r="N52" i="5"/>
  <c r="L52" i="5"/>
  <c r="M52" i="5"/>
  <c r="K52" i="5"/>
  <c r="D42" i="2"/>
  <c r="E23" i="2"/>
  <c r="E24" i="2" s="1"/>
  <c r="D43" i="2" l="1"/>
  <c r="D44" i="2" s="1"/>
  <c r="D45" i="2" s="1"/>
  <c r="E25" i="2"/>
  <c r="F23" i="2"/>
  <c r="F24" i="2" s="1"/>
  <c r="G23" i="2" l="1"/>
  <c r="G24" i="2" s="1"/>
  <c r="F25" i="2"/>
  <c r="H84" i="2"/>
  <c r="H85" i="2" s="1"/>
  <c r="H23" i="2" l="1"/>
  <c r="H24" i="2" s="1"/>
  <c r="G25" i="2"/>
  <c r="H9" i="2"/>
  <c r="I9" i="2"/>
  <c r="J9" i="2"/>
  <c r="K9" i="2"/>
  <c r="L9" i="2"/>
  <c r="M9" i="2"/>
  <c r="E57" i="2"/>
  <c r="E58" i="2" s="1"/>
  <c r="E39" i="2"/>
  <c r="E40" i="2" l="1"/>
  <c r="E42" i="2" s="1"/>
  <c r="H25" i="2"/>
  <c r="I23" i="2"/>
  <c r="I24" i="2" s="1"/>
  <c r="E59" i="2"/>
  <c r="D7" i="2"/>
  <c r="D8" i="2" s="1"/>
  <c r="F57" i="2"/>
  <c r="F58" i="2" s="1"/>
  <c r="E7" i="2"/>
  <c r="E8" i="2" s="1"/>
  <c r="F39" i="2"/>
  <c r="F7" i="2"/>
  <c r="F8" i="2" s="1"/>
  <c r="E43" i="2" l="1"/>
  <c r="E44" i="2" s="1"/>
  <c r="E45" i="2" s="1"/>
  <c r="F40" i="2"/>
  <c r="F42" i="2" s="1"/>
  <c r="E60" i="2"/>
  <c r="I25" i="2"/>
  <c r="J23" i="2"/>
  <c r="J24" i="2" s="1"/>
  <c r="F59" i="2"/>
  <c r="G57" i="2"/>
  <c r="G58" i="2" s="1"/>
  <c r="G39" i="2"/>
  <c r="G7" i="2"/>
  <c r="G8" i="2" s="1"/>
  <c r="F43" i="2" l="1"/>
  <c r="F44" i="2" s="1"/>
  <c r="F45" i="2" s="1"/>
  <c r="G40" i="2"/>
  <c r="G42" i="2" s="1"/>
  <c r="F60" i="2"/>
  <c r="K23" i="2"/>
  <c r="K24" i="2" s="1"/>
  <c r="J25" i="2"/>
  <c r="G59" i="2"/>
  <c r="H57" i="2"/>
  <c r="H58" i="2" s="1"/>
  <c r="H39" i="2"/>
  <c r="H7" i="2"/>
  <c r="H8" i="2" s="1"/>
  <c r="G43" i="2" l="1"/>
  <c r="G44" i="2" s="1"/>
  <c r="G45" i="2" s="1"/>
  <c r="H40" i="2"/>
  <c r="H42" i="2" s="1"/>
  <c r="G60" i="2"/>
  <c r="K25" i="2"/>
  <c r="L23" i="2"/>
  <c r="L24" i="2" s="1"/>
  <c r="H59" i="2"/>
  <c r="I57" i="2"/>
  <c r="I58" i="2" s="1"/>
  <c r="I39" i="2"/>
  <c r="I7" i="2"/>
  <c r="I8" i="2" s="1"/>
  <c r="H43" i="2" l="1"/>
  <c r="H44" i="2" s="1"/>
  <c r="H45" i="2" s="1"/>
  <c r="I40" i="2"/>
  <c r="I42" i="2" s="1"/>
  <c r="H60" i="2"/>
  <c r="L25" i="2"/>
  <c r="M23" i="2"/>
  <c r="M24" i="2" s="1"/>
  <c r="I59" i="2"/>
  <c r="J57" i="2"/>
  <c r="J58" i="2" s="1"/>
  <c r="J39" i="2"/>
  <c r="J7" i="2"/>
  <c r="J8" i="2" s="1"/>
  <c r="I43" i="2" l="1"/>
  <c r="I44" i="2" s="1"/>
  <c r="I45" i="2" s="1"/>
  <c r="J40" i="2"/>
  <c r="J42" i="2" s="1"/>
  <c r="I60" i="2"/>
  <c r="M25" i="2"/>
  <c r="F49" i="7" s="1"/>
  <c r="J59" i="2"/>
  <c r="K57" i="2"/>
  <c r="K58" i="2" s="1"/>
  <c r="K39" i="2"/>
  <c r="K7" i="2"/>
  <c r="K8" i="2" s="1"/>
  <c r="J10" i="2"/>
  <c r="J11" i="2" s="1"/>
  <c r="J43" i="2" l="1"/>
  <c r="J44" i="2" s="1"/>
  <c r="J45" i="2" s="1"/>
  <c r="K40" i="2"/>
  <c r="K42" i="2" s="1"/>
  <c r="J60" i="2"/>
  <c r="K59" i="2"/>
  <c r="L57" i="2"/>
  <c r="L58" i="2" s="1"/>
  <c r="L39" i="2"/>
  <c r="L7" i="2"/>
  <c r="L8" i="2" s="1"/>
  <c r="F48" i="2"/>
  <c r="R37" i="2" s="1"/>
  <c r="E48" i="2"/>
  <c r="Q37" i="2" s="1"/>
  <c r="K43" i="2" l="1"/>
  <c r="K44" i="2" s="1"/>
  <c r="K45" i="2" s="1"/>
  <c r="L40" i="2"/>
  <c r="L42" i="2" s="1"/>
  <c r="R38" i="2"/>
  <c r="S39" i="2" s="1"/>
  <c r="T40" i="2" s="1"/>
  <c r="U41" i="2" s="1"/>
  <c r="V42" i="2" s="1"/>
  <c r="W43" i="2" s="1"/>
  <c r="X44" i="2" s="1"/>
  <c r="Y45" i="2" s="1"/>
  <c r="Q46" i="2"/>
  <c r="E49" i="2" s="1"/>
  <c r="S38" i="2"/>
  <c r="T39" i="2" s="1"/>
  <c r="U40" i="2" s="1"/>
  <c r="V41" i="2" s="1"/>
  <c r="W42" i="2" s="1"/>
  <c r="X43" i="2" s="1"/>
  <c r="Y44" i="2" s="1"/>
  <c r="J12" i="2"/>
  <c r="K60" i="2"/>
  <c r="L59" i="2"/>
  <c r="M57" i="2"/>
  <c r="M58" i="2" s="1"/>
  <c r="M39" i="2"/>
  <c r="L43" i="2" l="1"/>
  <c r="L44" i="2" s="1"/>
  <c r="L45" i="2" s="1"/>
  <c r="M40" i="2"/>
  <c r="M42" i="2" s="1"/>
  <c r="R46" i="2"/>
  <c r="F49" i="2" s="1"/>
  <c r="M59" i="2"/>
  <c r="M60" i="2" s="1"/>
  <c r="L60" i="2"/>
  <c r="M7" i="2"/>
  <c r="M8" i="2" s="1"/>
  <c r="C13" i="7"/>
  <c r="M48" i="2"/>
  <c r="Y37" i="2" s="1"/>
  <c r="L48" i="2"/>
  <c r="X37" i="2" s="1"/>
  <c r="K48" i="2"/>
  <c r="W37" i="2" s="1"/>
  <c r="J48" i="2"/>
  <c r="V37" i="2" s="1"/>
  <c r="I48" i="2"/>
  <c r="U37" i="2" s="1"/>
  <c r="H48" i="2"/>
  <c r="T37" i="2" s="1"/>
  <c r="G48" i="2"/>
  <c r="S37" i="2" s="1"/>
  <c r="M43" i="2" l="1"/>
  <c r="M44" i="2" s="1"/>
  <c r="M45" i="2" s="1"/>
  <c r="Y38" i="2"/>
  <c r="T38" i="2"/>
  <c r="U39" i="2" s="1"/>
  <c r="V40" i="2" s="1"/>
  <c r="W41" i="2" s="1"/>
  <c r="X42" i="2" s="1"/>
  <c r="Y43" i="2" s="1"/>
  <c r="S46" i="2"/>
  <c r="G49" i="2" s="1"/>
  <c r="U38" i="2"/>
  <c r="V39" i="2" s="1"/>
  <c r="W40" i="2" s="1"/>
  <c r="X41" i="2" s="1"/>
  <c r="Y42" i="2" s="1"/>
  <c r="V38" i="2"/>
  <c r="W39" i="2" s="1"/>
  <c r="X40" i="2" s="1"/>
  <c r="Y41" i="2" s="1"/>
  <c r="W38" i="2"/>
  <c r="X39" i="2" s="1"/>
  <c r="Y40" i="2" s="1"/>
  <c r="X38" i="2"/>
  <c r="Y39" i="2" s="1"/>
  <c r="G49" i="7"/>
  <c r="E84" i="2"/>
  <c r="E85" i="2" s="1"/>
  <c r="T46" i="2" l="1"/>
  <c r="H49" i="2" s="1"/>
  <c r="Y46" i="2"/>
  <c r="M49" i="2" s="1"/>
  <c r="W46" i="2"/>
  <c r="K49" i="2" s="1"/>
  <c r="V46" i="2"/>
  <c r="J49" i="2" s="1"/>
  <c r="X46" i="2"/>
  <c r="L49" i="2" s="1"/>
  <c r="U46" i="2"/>
  <c r="I49" i="2" s="1"/>
  <c r="G47" i="7"/>
  <c r="C87" i="2"/>
  <c r="C88" i="2" s="1"/>
  <c r="M15" i="2"/>
  <c r="Y5" i="2" s="1"/>
  <c r="E15" i="2"/>
  <c r="Q5" i="2" s="1"/>
  <c r="F15" i="2"/>
  <c r="R5" i="2" s="1"/>
  <c r="G15" i="2"/>
  <c r="S5" i="2" s="1"/>
  <c r="H15" i="2"/>
  <c r="T5" i="2" s="1"/>
  <c r="I15" i="2"/>
  <c r="U5" i="2" s="1"/>
  <c r="J15" i="2"/>
  <c r="V5" i="2" s="1"/>
  <c r="K15" i="2"/>
  <c r="W5" i="2" s="1"/>
  <c r="L15" i="2"/>
  <c r="X5" i="2" s="1"/>
  <c r="D15" i="2"/>
  <c r="P5" i="2" s="1"/>
  <c r="P14" i="2" s="1"/>
  <c r="R6" i="2" l="1"/>
  <c r="S7" i="2" s="1"/>
  <c r="T8" i="2" s="1"/>
  <c r="U9" i="2" s="1"/>
  <c r="V10" i="2" s="1"/>
  <c r="W11" i="2" s="1"/>
  <c r="X12" i="2" s="1"/>
  <c r="Y13" i="2" s="1"/>
  <c r="Q6" i="2"/>
  <c r="R7" i="2" s="1"/>
  <c r="S8" i="2" s="1"/>
  <c r="T9" i="2" s="1"/>
  <c r="U10" i="2" s="1"/>
  <c r="V11" i="2" s="1"/>
  <c r="W12" i="2" s="1"/>
  <c r="X13" i="2" s="1"/>
  <c r="D16" i="2"/>
  <c r="S6" i="2"/>
  <c r="T7" i="2" s="1"/>
  <c r="U8" i="2" s="1"/>
  <c r="V9" i="2" s="1"/>
  <c r="W10" i="2" s="1"/>
  <c r="X11" i="2" s="1"/>
  <c r="Y12" i="2" s="1"/>
  <c r="T6" i="2"/>
  <c r="U7" i="2" s="1"/>
  <c r="V8" i="2" s="1"/>
  <c r="W9" i="2" s="1"/>
  <c r="X10" i="2" s="1"/>
  <c r="Y11" i="2" s="1"/>
  <c r="Y6" i="2"/>
  <c r="X6" i="2"/>
  <c r="Y7" i="2" s="1"/>
  <c r="V6" i="2"/>
  <c r="W7" i="2" s="1"/>
  <c r="X8" i="2" s="1"/>
  <c r="Y9" i="2" s="1"/>
  <c r="U6" i="2"/>
  <c r="V7" i="2" s="1"/>
  <c r="W8" i="2" s="1"/>
  <c r="X9" i="2" s="1"/>
  <c r="Y10" i="2" s="1"/>
  <c r="W6" i="2"/>
  <c r="X7" i="2" s="1"/>
  <c r="Y8" i="2" s="1"/>
  <c r="D17" i="2" l="1"/>
  <c r="D18" i="2" s="1"/>
  <c r="D19" i="2" s="1"/>
  <c r="R14" i="2"/>
  <c r="F16" i="2" s="1"/>
  <c r="S14" i="2"/>
  <c r="G16" i="2" s="1"/>
  <c r="Q14" i="2"/>
  <c r="T14" i="2"/>
  <c r="H16" i="2" s="1"/>
  <c r="W14" i="2"/>
  <c r="K16" i="2" s="1"/>
  <c r="Y14" i="2"/>
  <c r="M16" i="2" s="1"/>
  <c r="V14" i="2"/>
  <c r="J16" i="2" s="1"/>
  <c r="X14" i="2"/>
  <c r="L16" i="2" s="1"/>
  <c r="U14" i="2"/>
  <c r="I16" i="2" s="1"/>
  <c r="D28" i="2"/>
  <c r="C51" i="7"/>
  <c r="D68" i="7"/>
  <c r="D29" i="2" l="1"/>
  <c r="D30" i="2" s="1"/>
  <c r="E16" i="2"/>
  <c r="M10" i="2"/>
  <c r="M11" i="2" s="1"/>
  <c r="D20" i="2" l="1"/>
  <c r="D21" i="2" s="1"/>
  <c r="F17" i="2"/>
  <c r="F28" i="2"/>
  <c r="E17" i="2"/>
  <c r="E28" i="2"/>
  <c r="E18" i="2" l="1"/>
  <c r="E19" i="2" s="1"/>
  <c r="E20" i="2" s="1"/>
  <c r="E21" i="2" s="1"/>
  <c r="F18" i="2"/>
  <c r="F19" i="2" s="1"/>
  <c r="F20" i="2" s="1"/>
  <c r="F21" i="2" s="1"/>
  <c r="E29" i="2"/>
  <c r="E30" i="2" s="1"/>
  <c r="F29" i="2"/>
  <c r="F30" i="2" s="1"/>
  <c r="M12" i="2"/>
  <c r="G17" i="2"/>
  <c r="G18" i="2" s="1"/>
  <c r="G28" i="2"/>
  <c r="G29" i="2" l="1"/>
  <c r="G30" i="2" s="1"/>
  <c r="G19" i="2"/>
  <c r="H17" i="2"/>
  <c r="H28" i="2"/>
  <c r="H18" i="2" l="1"/>
  <c r="H19" i="2" s="1"/>
  <c r="H20" i="2" s="1"/>
  <c r="H21" i="2" s="1"/>
  <c r="H29" i="2"/>
  <c r="H30" i="2" s="1"/>
  <c r="G20" i="2"/>
  <c r="G21" i="2" s="1"/>
  <c r="I17" i="2"/>
  <c r="I28" i="2"/>
  <c r="I18" i="2" l="1"/>
  <c r="I19" i="2" s="1"/>
  <c r="I20" i="2" s="1"/>
  <c r="I21" i="2" s="1"/>
  <c r="I29" i="2"/>
  <c r="I30" i="2" s="1"/>
  <c r="J17" i="2"/>
  <c r="J28" i="2"/>
  <c r="J18" i="2" l="1"/>
  <c r="J19" i="2" s="1"/>
  <c r="J29" i="2"/>
  <c r="J30" i="2" s="1"/>
  <c r="K17" i="2"/>
  <c r="K28" i="2"/>
  <c r="J20" i="2" l="1"/>
  <c r="J21" i="2" s="1"/>
  <c r="J33" i="2" s="1"/>
  <c r="J76" i="2" s="1"/>
  <c r="J31" i="2"/>
  <c r="K18" i="2"/>
  <c r="K19" i="2" s="1"/>
  <c r="K20" i="2" s="1"/>
  <c r="K21" i="2" s="1"/>
  <c r="K29" i="2"/>
  <c r="K30" i="2" s="1"/>
  <c r="M17" i="2"/>
  <c r="M28" i="2"/>
  <c r="L17" i="2"/>
  <c r="L28" i="2"/>
  <c r="L10" i="2"/>
  <c r="L11" i="2" s="1"/>
  <c r="I10" i="2"/>
  <c r="H10" i="2"/>
  <c r="K10" i="2"/>
  <c r="E10" i="2"/>
  <c r="G10" i="2"/>
  <c r="D10" i="2"/>
  <c r="F10" i="2"/>
  <c r="J32" i="2" l="1"/>
  <c r="L18" i="2"/>
  <c r="L19" i="2" s="1"/>
  <c r="M18" i="2"/>
  <c r="M19" i="2" s="1"/>
  <c r="F31" i="2"/>
  <c r="F11" i="2"/>
  <c r="D31" i="2"/>
  <c r="D11" i="2"/>
  <c r="G31" i="2"/>
  <c r="G11" i="2"/>
  <c r="E31" i="2"/>
  <c r="E11" i="2"/>
  <c r="K31" i="2"/>
  <c r="K11" i="2"/>
  <c r="H31" i="2"/>
  <c r="H11" i="2"/>
  <c r="I31" i="2"/>
  <c r="I11" i="2"/>
  <c r="M29" i="2"/>
  <c r="M30" i="2" s="1"/>
  <c r="L29" i="2"/>
  <c r="L30" i="2" s="1"/>
  <c r="M20" i="2" l="1"/>
  <c r="M21" i="2" s="1"/>
  <c r="M33" i="2" s="1"/>
  <c r="M76" i="2" s="1"/>
  <c r="M31" i="2"/>
  <c r="L20" i="2"/>
  <c r="L21" i="2" s="1"/>
  <c r="L31" i="2"/>
  <c r="F50" i="7"/>
  <c r="H12" i="2"/>
  <c r="H33" i="2" s="1"/>
  <c r="H76" i="2" s="1"/>
  <c r="H32" i="2"/>
  <c r="I12" i="2"/>
  <c r="I33" i="2" s="1"/>
  <c r="I76" i="2" s="1"/>
  <c r="I32" i="2"/>
  <c r="K12" i="2"/>
  <c r="K33" i="2" s="1"/>
  <c r="K76" i="2" s="1"/>
  <c r="K32" i="2"/>
  <c r="G12" i="2"/>
  <c r="G33" i="2" s="1"/>
  <c r="G76" i="2" s="1"/>
  <c r="G32" i="2"/>
  <c r="L12" i="2"/>
  <c r="E12" i="2"/>
  <c r="E33" i="2" s="1"/>
  <c r="E76" i="2" s="1"/>
  <c r="E32" i="2"/>
  <c r="F12" i="2"/>
  <c r="F33" i="2" s="1"/>
  <c r="F76" i="2" s="1"/>
  <c r="F32" i="2"/>
  <c r="D12" i="2"/>
  <c r="D33" i="2" s="1"/>
  <c r="D76" i="2" s="1"/>
  <c r="D32" i="2"/>
  <c r="D63" i="2"/>
  <c r="D64" i="2" s="1"/>
  <c r="C98" i="2" l="1"/>
  <c r="L32" i="2"/>
  <c r="L33" i="2"/>
  <c r="L76" i="2" s="1"/>
  <c r="M32" i="2"/>
  <c r="F48" i="7"/>
  <c r="F51" i="7" s="1"/>
  <c r="F47" i="7"/>
  <c r="D51" i="2"/>
  <c r="D66" i="7" l="1"/>
  <c r="C94" i="2"/>
  <c r="C48" i="7" s="1"/>
  <c r="D78" i="2"/>
  <c r="D65" i="2"/>
  <c r="D66" i="2" s="1"/>
  <c r="E50" i="2"/>
  <c r="E51" i="2" s="1"/>
  <c r="E63" i="2"/>
  <c r="E64" i="2" s="1"/>
  <c r="E65" i="2" l="1"/>
  <c r="E66" i="2" s="1"/>
  <c r="E52" i="2"/>
  <c r="D52" i="2"/>
  <c r="F50" i="2"/>
  <c r="F51" i="2" s="1"/>
  <c r="F63" i="2"/>
  <c r="F64" i="2" s="1"/>
  <c r="E53" i="2" l="1"/>
  <c r="E54" i="2" s="1"/>
  <c r="E68" i="2" s="1"/>
  <c r="E67" i="2"/>
  <c r="D53" i="2"/>
  <c r="D54" i="2" s="1"/>
  <c r="D67" i="2"/>
  <c r="F65" i="2"/>
  <c r="F66" i="2" s="1"/>
  <c r="F52" i="2"/>
  <c r="G50" i="2"/>
  <c r="G51" i="2" s="1"/>
  <c r="G63" i="2"/>
  <c r="G64" i="2" s="1"/>
  <c r="F53" i="2" l="1"/>
  <c r="F54" i="2" s="1"/>
  <c r="F67" i="2"/>
  <c r="E55" i="2"/>
  <c r="E69" i="2" s="1"/>
  <c r="F77" i="2" s="1"/>
  <c r="F78" i="2" s="1"/>
  <c r="G65" i="2"/>
  <c r="G66" i="2" s="1"/>
  <c r="D55" i="2"/>
  <c r="D68" i="2"/>
  <c r="G52" i="2"/>
  <c r="H50" i="2"/>
  <c r="H63" i="2"/>
  <c r="H64" i="2" s="1"/>
  <c r="G53" i="2" l="1"/>
  <c r="G54" i="2" s="1"/>
  <c r="G68" i="2" s="1"/>
  <c r="G67" i="2"/>
  <c r="H51" i="2"/>
  <c r="H52" i="2" s="1"/>
  <c r="H67" i="2" s="1"/>
  <c r="F68" i="2"/>
  <c r="F55" i="2"/>
  <c r="F69" i="2" s="1"/>
  <c r="G77" i="2" s="1"/>
  <c r="G78" i="2" s="1"/>
  <c r="H65" i="2"/>
  <c r="H66" i="2" s="1"/>
  <c r="D69" i="2"/>
  <c r="I50" i="2"/>
  <c r="I51" i="2" s="1"/>
  <c r="I63" i="2"/>
  <c r="I64" i="2" s="1"/>
  <c r="H53" i="2" l="1"/>
  <c r="H54" i="2" s="1"/>
  <c r="H55" i="2" s="1"/>
  <c r="E77" i="2"/>
  <c r="I65" i="2"/>
  <c r="I66" i="2" s="1"/>
  <c r="G55" i="2"/>
  <c r="G69" i="2" s="1"/>
  <c r="H77" i="2" s="1"/>
  <c r="H78" i="2" s="1"/>
  <c r="I52" i="2"/>
  <c r="M50" i="2"/>
  <c r="M63" i="2"/>
  <c r="M64" i="2" s="1"/>
  <c r="J50" i="2"/>
  <c r="J51" i="2" s="1"/>
  <c r="J63" i="2"/>
  <c r="J64" i="2" s="1"/>
  <c r="I53" i="2" l="1"/>
  <c r="I54" i="2" s="1"/>
  <c r="I68" i="2" s="1"/>
  <c r="I67" i="2"/>
  <c r="H68" i="2"/>
  <c r="M51" i="2"/>
  <c r="M52" i="2" s="1"/>
  <c r="M67" i="2" s="1"/>
  <c r="E78" i="2"/>
  <c r="M65" i="2"/>
  <c r="M66" i="2" s="1"/>
  <c r="J65" i="2"/>
  <c r="J66" i="2" s="1"/>
  <c r="H69" i="2"/>
  <c r="I77" i="2" s="1"/>
  <c r="I78" i="2" s="1"/>
  <c r="J52" i="2"/>
  <c r="K50" i="2"/>
  <c r="K63" i="2"/>
  <c r="K64" i="2" s="1"/>
  <c r="J53" i="2" l="1"/>
  <c r="J54" i="2" s="1"/>
  <c r="J68" i="2" s="1"/>
  <c r="J67" i="2"/>
  <c r="M53" i="2"/>
  <c r="M54" i="2" s="1"/>
  <c r="M55" i="2" s="1"/>
  <c r="K51" i="2"/>
  <c r="K52" i="2" s="1"/>
  <c r="K67" i="2" s="1"/>
  <c r="K65" i="2"/>
  <c r="K66" i="2" s="1"/>
  <c r="I55" i="2"/>
  <c r="I69" i="2" s="1"/>
  <c r="J77" i="2" s="1"/>
  <c r="J78" i="2" s="1"/>
  <c r="L50" i="2"/>
  <c r="L51" i="2" s="1"/>
  <c r="L63" i="2"/>
  <c r="L64" i="2" s="1"/>
  <c r="M68" i="2" l="1"/>
  <c r="K53" i="2"/>
  <c r="K54" i="2" s="1"/>
  <c r="K68" i="2" s="1"/>
  <c r="L65" i="2"/>
  <c r="L66" i="2" s="1"/>
  <c r="G50" i="7" s="1"/>
  <c r="M69" i="2"/>
  <c r="N77" i="2" s="1"/>
  <c r="N78" i="2" s="1"/>
  <c r="J55" i="2"/>
  <c r="J69" i="2" s="1"/>
  <c r="K77" i="2" s="1"/>
  <c r="K78" i="2" s="1"/>
  <c r="L52" i="2"/>
  <c r="L53" i="2" l="1"/>
  <c r="L54" i="2" s="1"/>
  <c r="L68" i="2" s="1"/>
  <c r="L67" i="2"/>
  <c r="K55" i="2"/>
  <c r="K69" i="2" s="1"/>
  <c r="L77" i="2" s="1"/>
  <c r="L78" i="2" s="1"/>
  <c r="L55" i="2" l="1"/>
  <c r="L69" i="2" s="1"/>
  <c r="C95" i="2" s="1"/>
  <c r="C49" i="7" s="1"/>
  <c r="G48" i="7" l="1"/>
  <c r="G51" i="7" s="1"/>
  <c r="M77" i="2"/>
  <c r="D67" i="7" s="1"/>
  <c r="M78" i="2" l="1"/>
  <c r="C96" i="2" l="1"/>
  <c r="C92" i="2"/>
  <c r="D69" i="7" s="1"/>
  <c r="C50" i="7" l="1"/>
  <c r="C52" i="7" s="1"/>
  <c r="C97" i="2"/>
  <c r="C93" i="2"/>
  <c r="D70" i="7" s="1"/>
  <c r="C102" i="2"/>
  <c r="C14" i="10" s="1"/>
  <c r="E43" i="10" l="1"/>
  <c r="E32" i="10"/>
  <c r="O29" i="10"/>
  <c r="O18" i="10"/>
  <c r="E18" i="10"/>
  <c r="C2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tc={5FD732D3-3776-46EA-87F6-875ACF1A08CA}</author>
    <author>tc={BB4E4352-38CB-41D3-81A3-1EF11930F84A}</author>
  </authors>
  <commentList>
    <comment ref="B25" authorId="0" shapeId="0" xr:uid="{5FD732D3-3776-46EA-87F6-875ACF1A08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Yield benefit of stumping (assumption realization rate of TNS model)  ; -10% Average Coffee Price Change</t>
      </text>
    </comment>
    <comment ref="B26" authorId="1" shapeId="0" xr:uid="{BB4E4352-38CB-41D3-81A3-1EF11930F8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100% Yield benefit of stumping (assumption realization rate of TNS model) ; +10% Average Coffee Price Change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tc={C95775DF-E7C6-4D96-AFF3-E0D79DCACE8E}</author>
    <author>tc={52E57845-DDC4-4AA1-A1FC-490F7B5FD7F3}</author>
    <author>tc={3F12887C-B7B5-43B4-BDDE-6B60BA580D61}</author>
    <author>tc={773247EE-DC16-4650-AC3E-2655A12E4D70}</author>
    <author>tc={4916FD8A-A512-4E97-97F4-F896AE75CC51}</author>
    <author>tc={734949D7-C4C5-45D6-8B14-617C25CE70BB}</author>
    <author>tc={C679050E-33B6-4444-A977-8B4C3CEE62CC}</author>
    <author>tc={E947B302-AD14-4A3E-A5A2-DE2EADC87099}</author>
    <author>tc={E9FDF798-F5FB-45B4-881B-F94F14785567}</author>
    <author>tc={A43A194B-A24D-41A3-BC2D-A9DA20F2958B}</author>
    <author>tc={5CCE1312-B902-48B0-B1A0-D5423882E54E}</author>
    <author>tc={7BAA60E4-F3C0-434C-B00B-2719307C20FA}</author>
    <author>tc={FA989498-E2E8-4A17-A488-18ACC7D11863}</author>
  </authors>
  <commentList>
    <comment ref="B19" authorId="0" shapeId="0" xr:uid="{C95775DF-E7C6-4D96-AFF3-E0D79DCACE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C46" authorId="1" shapeId="0" xr:uid="{52E57845-DDC4-4AA1-A1FC-490F7B5FD7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qualitative observtion and interviews during field visits</t>
      </text>
    </comment>
    <comment ref="G50" authorId="2" shapeId="0" xr:uid="{3F12887C-B7B5-43B4-BDDE-6B60BA580D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rates after 2022, we take the 5-year average daily labor rate from 2018-2022.</t>
      </text>
    </comment>
    <comment ref="C51" authorId="3" shapeId="0" xr:uid="{773247EE-DC16-4650-AC3E-2655A12E4D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 51)</t>
      </text>
    </comment>
    <comment ref="D51" authorId="4" shapeId="0" xr:uid="{4916FD8A-A512-4E97-97F4-F896AE75CC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average 2020-2022</t>
      </text>
    </comment>
    <comment ref="E51" authorId="5" shapeId="0" xr:uid="{734949D7-C4C5-45D6-8B14-617C25CE70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2022: C2020 Endline (p.34)</t>
      </text>
    </comment>
    <comment ref="F51" authorId="6" shapeId="0" xr:uid="{C679050E-33B6-4444-A977-8B4C3CEE62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JCP C22 Endline own calculation: mean daily wage rate for weeding
</t>
      </text>
    </comment>
    <comment ref="H62" authorId="7" shapeId="0" xr:uid="{E947B302-AD14-4A3E-A5A2-DE2EADC870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prices after 2025 we take the 5-year average coffee price from 2021-2025.</t>
      </text>
    </comment>
    <comment ref="C63" authorId="8" shapeId="0" xr:uid="{E9FDF798-F5FB-45B4-881B-F94F147855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C022 Baseline (p.47) </t>
      </text>
    </comment>
    <comment ref="D63" authorId="9" shapeId="0" xr:uid="{A43A194B-A24D-41A3-BC2D-A9DA20F295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C2023 Baseline (p. ii)</t>
      </text>
    </comment>
    <comment ref="E63" authorId="10" shapeId="0" xr:uid="{5CCE1312-B902-48B0-B1A0-D5423882E5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2023: EL C2022</t>
      </text>
    </comment>
    <comment ref="F63" authorId="11" shapeId="0" xr:uid="{7BAA60E4-F3C0-434C-B00B-2719307C2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Technoserve own data provided from Jimma region
</t>
      </text>
    </comment>
    <comment ref="G63" authorId="12" shapeId="0" xr:uid="{FA989498-E2E8-4A17-A488-18ACC7D118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Zonal Agriculture (Department of Market Linkage) and the Zonal Trade Office
Antwort:
    To be updated with evaluation data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tc={091E9335-EEC7-4E61-8429-F70C588A699A}</author>
    <author>tc={139F4E7C-E06E-445B-B894-0054E7D50D3C}</author>
    <author>tc={3CA3B62E-159B-41F7-B725-A6F0E063457E}</author>
    <author>tc={3FFD43D1-4214-43D4-AE83-D6FDDB7637F4}</author>
    <author>tc={B2DC8CE6-344E-4700-B86E-34BBF3158FE2}</author>
  </authors>
  <commentList>
    <comment ref="C6" authorId="0" shapeId="0" xr:uid="{091E9335-EEC7-4E61-8429-F70C588A69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Following UCAT, we assume a linear decay in farmers' practice adoption by 7.3% of the initial improvement per year; Share of HH adopting additional 2 BP = 34% 
Endline C22, p. 38</t>
      </text>
    </comment>
    <comment ref="C16" authorId="1" shapeId="0" xr:uid="{139F4E7C-E06E-445B-B894-0054E7D50D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Following UCAT, we assume a linear decay in farmers' practice adoption by 7.3% of the initial improvement per year; Share of HH adopting additional 2 BP = 34% 
Endline C22, p. 38</t>
      </text>
    </comment>
    <comment ref="B35" authorId="2" shapeId="0" xr:uid="{3CA3B62E-159B-41F7-B725-A6F0E06345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CURRENTLY CONSIDERING SAME IMPACT AS C22 for GAP adoption, honey income and CWS impact</t>
      </text>
    </comment>
    <comment ref="E46" authorId="3" shapeId="0" xr:uid="{3FFD43D1-4214-43D4-AE83-D6FDDB7637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From Technoserve Stumping Verification Report</t>
      </text>
    </comment>
    <comment ref="C98" authorId="4" shapeId="0" xr:uid="{B2DC8CE6-344E-4700-B86E-34BBF3158F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 median annual household income is used the relative increase in household income is ~ 15%; Consumption is used as the primary benchmark as it better reflects living standards and is less sensitive to income underreporting. Income-based ratios are shown for completeness.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tc={E401FEB9-D8FC-405D-A6C3-FFAD75F9462A}</author>
    <author>tc={CB0AD425-DBFF-49D9-BE5E-F0ADEDC3819B}</author>
    <author>tc={52E00D29-78F4-4698-A5AE-32B33A39839B}</author>
  </authors>
  <commentList>
    <comment ref="D9" authorId="0" shapeId="0" xr:uid="{E401FEB9-D8FC-405D-A6C3-FFAD75F946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 Target of 8500 divided by total outreach target 34000</t>
      </text>
    </comment>
    <comment ref="B11" authorId="1" shapeId="0" xr:uid="{CB0AD425-DBFF-49D9-BE5E-F0ADEDC381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E38" authorId="2" shapeId="0" xr:uid="{52E00D29-78F4-4698-A5AE-32B33A3983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TNS03 Budget includes 15% indirect costs</t>
      </text>
    </comment>
  </commentList>
</comments>
</file>

<file path=xl/sharedStrings.xml><?xml version="1.0" encoding="utf-8"?>
<sst xmlns="http://schemas.openxmlformats.org/spreadsheetml/2006/main" count="387" uniqueCount="254">
  <si>
    <t>HWG Impact Model:</t>
  </si>
  <si>
    <t>Jimma Coffee Program</t>
  </si>
  <si>
    <t>Overview</t>
  </si>
  <si>
    <t>Project name</t>
  </si>
  <si>
    <t>Implementing partner</t>
  </si>
  <si>
    <t>TechnoServe</t>
  </si>
  <si>
    <t>Evaluation partner</t>
  </si>
  <si>
    <t>IFPRI</t>
  </si>
  <si>
    <t>C4ED</t>
  </si>
  <si>
    <t>Project country</t>
  </si>
  <si>
    <t>Ethiopia</t>
  </si>
  <si>
    <t>Project region</t>
  </si>
  <si>
    <t>Jimma Zone (Gumay, Goma, Gera Woredas)</t>
  </si>
  <si>
    <t>Project duration</t>
  </si>
  <si>
    <t>09/2021 - 04/2025</t>
  </si>
  <si>
    <t>Objective</t>
  </si>
  <si>
    <t>To improve coffee productivity and resilience by promoting regenerative agricultural practices and quality improvements for coffee plus honey as alternative income-generating activity</t>
  </si>
  <si>
    <t>Budget (2025 nominal EUR)</t>
  </si>
  <si>
    <t>Outreach</t>
  </si>
  <si>
    <t>15.489 trained (50% of training topics + 3 key topics)</t>
  </si>
  <si>
    <t>Date of Analysis / Version</t>
  </si>
  <si>
    <t>Author</t>
  </si>
  <si>
    <t>Marlene Gutiérrez</t>
  </si>
  <si>
    <t>SROI</t>
  </si>
  <si>
    <r>
      <t xml:space="preserve">Total SROI
</t>
    </r>
    <r>
      <rPr>
        <sz val="10"/>
        <color theme="1"/>
        <rFont val="Pero ExtraBold"/>
        <family val="2"/>
      </rPr>
      <t>(10 year time frame)</t>
    </r>
  </si>
  <si>
    <t>Type</t>
  </si>
  <si>
    <t>Semi-Forecast</t>
  </si>
  <si>
    <t>Level of certainty*</t>
  </si>
  <si>
    <t>Low</t>
  </si>
  <si>
    <t>SROI thresholds</t>
  </si>
  <si>
    <r>
      <t>Sensitivity Analysis</t>
    </r>
    <r>
      <rPr>
        <sz val="10"/>
        <color theme="1"/>
        <rFont val="Pero ExtraBold"/>
        <family val="2"/>
      </rPr>
      <t xml:space="preserve"> 
</t>
    </r>
    <r>
      <rPr>
        <sz val="10"/>
        <color theme="1"/>
        <rFont val="Pero"/>
        <family val="2"/>
      </rPr>
      <t>(parameters to determine lower- and upper-bound SROI estimates)</t>
    </r>
  </si>
  <si>
    <t xml:space="preserve">Average coffee price change + Yield benefit of stumping  (assumption realization rate of TNS model) </t>
  </si>
  <si>
    <t>Lowe-bound SROI</t>
  </si>
  <si>
    <t>Upper-bound SROI</t>
  </si>
  <si>
    <t>Evaluation</t>
  </si>
  <si>
    <t>Evaluation methodology</t>
  </si>
  <si>
    <t>Quasi-experimental study design; difference-in-difference combined with propensity score matching (C22 limitation, as households in intervention areas differ significantly from control households)</t>
  </si>
  <si>
    <t>Primary outcome</t>
  </si>
  <si>
    <t>Adoption status of trained agricultural practices</t>
  </si>
  <si>
    <t>Income measurement</t>
  </si>
  <si>
    <t>Modeled based on adoption data</t>
  </si>
  <si>
    <t>Sample size per cohort</t>
  </si>
  <si>
    <t>C22: Treatment: 644; Control: 310</t>
  </si>
  <si>
    <t>C23: Treatment: 1054; Control: 1106</t>
  </si>
  <si>
    <t>Study population</t>
  </si>
  <si>
    <t>Coffee-cultivating households that reside in project Kebeles</t>
  </si>
  <si>
    <t>Methodological rigor*</t>
  </si>
  <si>
    <t>Good</t>
  </si>
  <si>
    <t xml:space="preserve">Findings on other outcomes </t>
  </si>
  <si>
    <t>Best practice adoption (Coffee)</t>
  </si>
  <si>
    <t>Endline C22: Average household adopted 2.2 out of 7 best practices by endline (C22) with 34% of interviewed households adopting additional 2 best practices at endline. Only 25% of targeted 50% adopted compost/ manure. The adoption of weedings declined 47% to 37%. The decline in weeding adoption is partly the result of observation of higher weed incidence. One possible explanation for the higher weed incidence, could be the timing of the surveys. The baseline was conducted in January 2022, during the dry season in most parts of Ethiopia, whereas the endline survey took place in the rainy season.  70% of interviewed farmers reported weeding min twice per year up from 56% at baseline.</t>
  </si>
  <si>
    <t>Coffee Washing Stations (CWS)</t>
  </si>
  <si>
    <t xml:space="preserve">C22 &amp; C23 TNS audits: 2024 audits were conducted for all 12 operational CWS (C22 &amp; C23). Four of the 16 CWS did not open during the 2024/25 season due to a shortage of working capital and/or equipment failure (e.g., damaged pulping machines). All audited CWS passed a mimimum of 80% of sustainability standards. All 12 CWS met the requirement of scoring at least 86% on CPQI. The average score for both cohorts was 91%.. The proportion of Q1/Q2 grade coffee was at 97%. </t>
  </si>
  <si>
    <t xml:space="preserve">Beekeeping </t>
  </si>
  <si>
    <t>Endline C22: The number of households with occupied, active hives increase from 21% to 29% in past 12 months. The income increase in honey is mainly driven by increasing prices which changed from avrg 136 ETB to 286 ETB for crude honey. Average production decreased from 16,9 kg to 13 kg (as additional 700 farmer likely poroduce less than more experienced farmers); Although more farmers produced honey, the share of farmers reporting income through sales declined by 2% (from 9% to 7%) while the average income doubled from 3068 ETB  to 6024 ETB. During the year beekeeping farmers phased issues with unfavoring climatic conditions highly influencing productivity.</t>
  </si>
  <si>
    <t>Present Value vs Costs</t>
  </si>
  <si>
    <t>C22</t>
  </si>
  <si>
    <t>C23</t>
  </si>
  <si>
    <t>GAPs besides Stumping</t>
  </si>
  <si>
    <t>PV per HH C22</t>
  </si>
  <si>
    <t>Stumping</t>
  </si>
  <si>
    <t>PV per HH C23 (forecast)</t>
  </si>
  <si>
    <t>Honey</t>
  </si>
  <si>
    <t>PV per HH combined</t>
  </si>
  <si>
    <t>Coffee Washing Stations</t>
  </si>
  <si>
    <t>Costs per HH</t>
  </si>
  <si>
    <t>NPV per HH</t>
  </si>
  <si>
    <t>C2022</t>
  </si>
  <si>
    <t>Present Value (in 2021 EUR)</t>
  </si>
  <si>
    <t>C2023</t>
  </si>
  <si>
    <t>Combined</t>
  </si>
  <si>
    <t>Project Costs discounted (in 2021 EUR)</t>
  </si>
  <si>
    <t>Net Present Value (in 2021 EUR)</t>
  </si>
  <si>
    <t>* Definitions see tab "Info"</t>
  </si>
  <si>
    <t>1) Jimma Coffee Program Theory of Change</t>
  </si>
  <si>
    <t>2) HereWeGrow Impact Map</t>
  </si>
  <si>
    <t>1) Details of the Analysis</t>
  </si>
  <si>
    <t>Impact Measure*</t>
  </si>
  <si>
    <t>Additional net income (profit) generated</t>
  </si>
  <si>
    <t>Cell shading indicates data confidence</t>
  </si>
  <si>
    <t>Base year C2022</t>
  </si>
  <si>
    <t>Substantiated — supported by credible empirical source</t>
  </si>
  <si>
    <t>Base year C2023</t>
  </si>
  <si>
    <t>Uncertain — based on limited data, proxy, or forecast assumption</t>
  </si>
  <si>
    <t>Year of Analysis</t>
  </si>
  <si>
    <t>Year of Analysis Currency</t>
  </si>
  <si>
    <t>2021 EUR</t>
  </si>
  <si>
    <t>2) Assumptions Used in the Analysis</t>
  </si>
  <si>
    <t>Assumption</t>
  </si>
  <si>
    <t>Value</t>
  </si>
  <si>
    <t>Discount rate*</t>
  </si>
  <si>
    <t>Source</t>
  </si>
  <si>
    <t>Linear decay in farmers' practice adoption*</t>
  </si>
  <si>
    <t>IPE Triple Line, 2017</t>
  </si>
  <si>
    <t>Production costs</t>
  </si>
  <si>
    <t>kg coffee cherries harvested per day</t>
  </si>
  <si>
    <t>Expert model (available on request)</t>
  </si>
  <si>
    <t>Person Days for stumping 1 tree</t>
  </si>
  <si>
    <t xml:space="preserve"> </t>
  </si>
  <si>
    <t>Weeks/Year</t>
  </si>
  <si>
    <t>Labor rates</t>
  </si>
  <si>
    <t>Year</t>
  </si>
  <si>
    <t>Daily rate per laborer (in nominal ETB)</t>
  </si>
  <si>
    <t>Daily rate per laborer (in real 2021 ETB)</t>
  </si>
  <si>
    <t>Yield benefit of  stumping*</t>
  </si>
  <si>
    <t>Year 1 (Stumping)</t>
  </si>
  <si>
    <t xml:space="preserve">Year 2 </t>
  </si>
  <si>
    <t>Year 3</t>
  </si>
  <si>
    <t>Year 4</t>
  </si>
  <si>
    <t>Year 5</t>
  </si>
  <si>
    <t>Year 6</t>
  </si>
  <si>
    <t>Year 7</t>
  </si>
  <si>
    <t>Year 8</t>
  </si>
  <si>
    <t>Year 9</t>
  </si>
  <si>
    <t>Stumped yield (kg fresh cherry/tree)</t>
  </si>
  <si>
    <t>TNS yield model (available upon request)</t>
  </si>
  <si>
    <t>Unstumped yield (kg fresh cherry/tree)</t>
  </si>
  <si>
    <t>Difference</t>
  </si>
  <si>
    <t>% difference</t>
  </si>
  <si>
    <t>Coffee Prices</t>
  </si>
  <si>
    <t>Coffee Price (kg fresh cherry) (in nominal ETB)</t>
  </si>
  <si>
    <t>Coffee Price (kg fresh cherry) (in real 2022 ETB)</t>
  </si>
  <si>
    <t>Coffee Price (kg fresh cherry) (in real 2021 ETB)</t>
  </si>
  <si>
    <t>Inflation*</t>
  </si>
  <si>
    <t>Sources</t>
  </si>
  <si>
    <t>Ethiopia (GDP deflator; base year=2015/2016)</t>
  </si>
  <si>
    <t xml:space="preserve">IMF GDP deflator </t>
  </si>
  <si>
    <t>Germany (GDP deflator; base year=2015/2016)</t>
  </si>
  <si>
    <t>Exchange rates</t>
  </si>
  <si>
    <t>ETB:EUR</t>
  </si>
  <si>
    <t>Standard</t>
  </si>
  <si>
    <t>Exchange-rate.org (2021 Average)</t>
  </si>
  <si>
    <t>Non-implementation costs share*</t>
  </si>
  <si>
    <t>Coffee Price Change</t>
  </si>
  <si>
    <t>Yield benefit of BP adoption besides stumping*</t>
  </si>
  <si>
    <t xml:space="preserve">Unstumped yield (assumption realization rate of TNS model) </t>
  </si>
  <si>
    <t xml:space="preserve">Yield benefit of stumping*  (assumption realization rate of TNS model) </t>
  </si>
  <si>
    <t>C22 Cohort</t>
  </si>
  <si>
    <t>Link</t>
  </si>
  <si>
    <t>Average Coffee Farm Size (ha)</t>
  </si>
  <si>
    <t xml:space="preserve"> Baseline C2022, p.38</t>
  </si>
  <si>
    <t>JCP Baseline Report C22</t>
  </si>
  <si>
    <t>Average coffee cherry production per Hectare (kg)</t>
  </si>
  <si>
    <t>Baseline value, Endline report, p.52</t>
  </si>
  <si>
    <t>JCP Endline Report C22</t>
  </si>
  <si>
    <t xml:space="preserve">  </t>
  </si>
  <si>
    <t>Median number of productive coffee trees per ha</t>
  </si>
  <si>
    <t>HWG own calculation from JCP C2022 Endline Dataset JCP_EL_BL_panel_plot.dta(excludig control Kebeles)</t>
  </si>
  <si>
    <t>C23 Cohort</t>
  </si>
  <si>
    <t>Assumptions</t>
  </si>
  <si>
    <t>Value Gomma</t>
  </si>
  <si>
    <t>Value Gera</t>
  </si>
  <si>
    <t xml:space="preserve"> Baseline C23, p.21</t>
  </si>
  <si>
    <t>JCP Baseline Report C23</t>
  </si>
  <si>
    <t>Baseline C23, p.37</t>
  </si>
  <si>
    <t>HWG own calculation from JCP C2023 Baseline Dataset 10b_plot_characteristics (excludig control Kebeles)</t>
  </si>
  <si>
    <t>DG IICoF Annual HH Consumption Jimma Data</t>
  </si>
  <si>
    <t>Notes</t>
  </si>
  <si>
    <t>Median annual HH consumption in nominal 2023 ETB</t>
  </si>
  <si>
    <t>Baseline p.55</t>
  </si>
  <si>
    <t>Digital Green IICoF Baseline Report</t>
  </si>
  <si>
    <t>74,26*365*5 (Calculated from DG Baseline Dataset Jimma_Coff_consumption_aggregate.dta); Baseline consumption estimate sourced from Digital Green project (2023), collected across 4 Woredas in Jimma Zone and deflated to real 2021 values. Applied as a regional proxy for this project's 3 Woredas in Jimma Zone given comparable agroecological context and livelihood systems. In the absence of project-specific consumption data, this represents the best available estimate for HH baseline income in this area available to HWG.)</t>
  </si>
  <si>
    <t>Median annual HH consumption in real 2021 ETB</t>
  </si>
  <si>
    <t>Total</t>
  </si>
  <si>
    <t>Planned</t>
  </si>
  <si>
    <t>Registered</t>
  </si>
  <si>
    <t>Trained (50% + 3 Key Practices)</t>
  </si>
  <si>
    <t>*We use registered HHs as evaluation results reflect outcome on ITT</t>
  </si>
  <si>
    <t>C2022 (Endline)</t>
  </si>
  <si>
    <t xml:space="preserve">C22 Stumping </t>
  </si>
  <si>
    <t>BPs besides Stumping</t>
  </si>
  <si>
    <t>Share of HH adopting + 2 BP</t>
  </si>
  <si>
    <t>Year 1</t>
  </si>
  <si>
    <t>Yield benefit (kg cherry)</t>
  </si>
  <si>
    <t>Year 2</t>
  </si>
  <si>
    <t xml:space="preserve">Harvest Labor Days additional </t>
  </si>
  <si>
    <t>Harvest Cost additional  (in real 2021 ETB)</t>
  </si>
  <si>
    <t>Additional revenue per HH  (in real 2021 ETB)</t>
  </si>
  <si>
    <t>Additional profit per HH (in real 2021 ETB)</t>
  </si>
  <si>
    <t>Additional profit per HH, discounted (in real 2021 ETB)</t>
  </si>
  <si>
    <t>Additional profit, discounted (in real 2021 EUR)</t>
  </si>
  <si>
    <t>Share of HH that stumped</t>
  </si>
  <si>
    <t>Number of Trees stumped (if stumped)</t>
  </si>
  <si>
    <t>Yield difference</t>
  </si>
  <si>
    <t>Number of trees stumped per HH</t>
  </si>
  <si>
    <t xml:space="preserve">Labor Days additional </t>
  </si>
  <si>
    <t>Labor Costs additional  (in real 2021 ETB)</t>
  </si>
  <si>
    <t>Additional profit per HH, dicounted (in real 2021 ETB)</t>
  </si>
  <si>
    <t>Additional honey income in nominal ETB</t>
  </si>
  <si>
    <t>-</t>
  </si>
  <si>
    <t>Additional income per HH (in real 2021 ETB)</t>
  </si>
  <si>
    <t>Additional income per HH, discounted (in real 2021 ETB)</t>
  </si>
  <si>
    <t>CWS</t>
  </si>
  <si>
    <t>Share of HH selling to cooperative</t>
  </si>
  <si>
    <t>Average price increase through CWS work</t>
  </si>
  <si>
    <t>Additional income per HH, discounted (in real 2021 EUR)</t>
  </si>
  <si>
    <t>C2023 (Assumptions)</t>
  </si>
  <si>
    <t xml:space="preserve">C23 Stumping </t>
  </si>
  <si>
    <t xml:space="preserve">Harvest Labor additional </t>
  </si>
  <si>
    <t>Harvest Cost additional  (in real 2022 ETB)</t>
  </si>
  <si>
    <t>Additional revenue per HH  (in real 2022 ETB)</t>
  </si>
  <si>
    <t>Additional profit per HH (in real 2022 ETB)</t>
  </si>
  <si>
    <t>Additional profit per HH, discounted (in real 2022 ETB)</t>
  </si>
  <si>
    <t>Share of HH that stumped (C22 RESULTS)</t>
  </si>
  <si>
    <t>Number of Trees stumped (if stumped) (C22 RESULTS)</t>
  </si>
  <si>
    <t>Labor Costs additional  (in real 2022 ETB)</t>
  </si>
  <si>
    <t>Additional honey income in ETB (nominal)</t>
  </si>
  <si>
    <t>Additional income per HH (in real 2022 ETB)</t>
  </si>
  <si>
    <t>Additional income per HH, discounted (in real 2022 ETB)</t>
  </si>
  <si>
    <t>Additional Income per HH, discounted (in real 2021 ETB)</t>
  </si>
  <si>
    <t>Incremental Cash-flow EUR, discounted (in real 2021 EUR)</t>
  </si>
  <si>
    <t>Project Costs (in nominal EUR)</t>
  </si>
  <si>
    <t>Project Costs (in real 2021 EUR)</t>
  </si>
  <si>
    <t>Project Cost discounted (in 2021 EUR)</t>
  </si>
  <si>
    <t>Project costs discounted (in 2021 EUR)</t>
  </si>
  <si>
    <t xml:space="preserve">Project costs per HH discounted (in 2021 EUR) </t>
  </si>
  <si>
    <t>Present Value</t>
  </si>
  <si>
    <t xml:space="preserve">Total Project Net Present Value </t>
  </si>
  <si>
    <t>C22 Present Value per HH</t>
  </si>
  <si>
    <t xml:space="preserve">C23 Present Value per HH </t>
  </si>
  <si>
    <t xml:space="preserve">Present Value per HH </t>
  </si>
  <si>
    <t>Net Present Value per HH</t>
  </si>
  <si>
    <t>Relative Increase in HH income (C23)</t>
  </si>
  <si>
    <t>Social Return on Investment (SROI)</t>
  </si>
  <si>
    <t>SROI = Total Benefits/ Project Costs</t>
  </si>
  <si>
    <t>Discount rate</t>
  </si>
  <si>
    <t>Average coffee price change</t>
  </si>
  <si>
    <t># of HH reached (C23)</t>
  </si>
  <si>
    <t xml:space="preserve">Yield benefit of stumping  (assumption realization rate of TNS model) </t>
  </si>
  <si>
    <t>Non-implementation cost share</t>
  </si>
  <si>
    <t>Estimated  Coffee yield impact of + 2 BP adoption</t>
  </si>
  <si>
    <t>Maximum share of housheolds adopting +2 BP</t>
  </si>
  <si>
    <t>Fields marked in light red show when the component has no affect on SROI anymore.</t>
  </si>
  <si>
    <r>
      <t xml:space="preserve">
The sensitivity analysis examines how varying key assumptions on discount rates, implementation costs, adoption rates, coffee prices, and yield estimates affect the SROI. The base case yields an SROI o</t>
    </r>
    <r>
      <rPr>
        <sz val="10"/>
        <color theme="1"/>
        <rFont val="Pero"/>
        <family val="2"/>
      </rPr>
      <t xml:space="preserve">f 5,5, </t>
    </r>
    <r>
      <rPr>
        <sz val="11"/>
        <color theme="1"/>
        <rFont val="Pero"/>
        <family val="2"/>
      </rPr>
      <t xml:space="preserve">calculated at a 10% discount rate, with the full budget, average coffee price of past 5 years projection, 100% realisation of TNS yield benefit estimates, and an expected unstumped yield of 100% of TNS estimates.
</t>
    </r>
    <r>
      <rPr>
        <b/>
        <sz val="11"/>
        <color theme="1"/>
        <rFont val="Pero"/>
        <family val="2"/>
      </rPr>
      <t xml:space="preserve">Discount rate and HH reached: </t>
    </r>
    <r>
      <rPr>
        <sz val="11"/>
        <color theme="1"/>
        <rFont val="Pero"/>
        <family val="2"/>
      </rPr>
      <t xml:space="preserve">The discount rate has a consistent influence on the SROI which ranges from  3,9  at a 0% discount rate to 6,7 at a 20% discount rate. In comparison the number of HH reached affects the SROI only moderately. If we would only consider the HH counted as trained (50% of training plus stumping, weeding and composting training partictipation), roughly 9k less compared to overall 24.803 HH registered, the SROI would drop to 3,9.
</t>
    </r>
    <r>
      <rPr>
        <b/>
        <sz val="11"/>
        <color theme="1"/>
        <rFont val="Pero"/>
        <family val="2"/>
      </rPr>
      <t xml:space="preserve">Non-implementation cost share: </t>
    </r>
    <r>
      <rPr>
        <sz val="11"/>
        <color theme="1"/>
        <rFont val="Pero"/>
        <family val="2"/>
      </rPr>
      <t xml:space="preserve">Across the full range of cost share assumptions (0%–20%), the SROI at the base case 10% discount rate moves between 5,5 (0% cost share) and 6,5 (20% cost share), indicating that the cost allocation assumption has a relatively limited effect compared to other drivers.
</t>
    </r>
    <r>
      <rPr>
        <b/>
        <sz val="11"/>
        <color theme="1"/>
        <rFont val="Pero"/>
        <family val="2"/>
      </rPr>
      <t xml:space="preserve">Adoption of stumping (+2 BP) and coffee yield impact: </t>
    </r>
    <r>
      <rPr>
        <sz val="11"/>
        <color theme="1"/>
        <rFont val="Pero"/>
        <family val="2"/>
      </rPr>
      <t xml:space="preserve">The maximum share of HHs adopting +2 Best Practices is a signifciation driver of the SROI when combined with strong yield gains. At 0% adoption, the SROI is 5,0 regardless of the estimated yield impact. As adoption increases, the sensitivity to the yield impact assumption grows: at 60% adoption and a 30% yield gain, the SROI could reach up to 8,2. This scenario is, however, highly unlikely.
</t>
    </r>
    <r>
      <rPr>
        <b/>
        <sz val="11"/>
        <color theme="1"/>
        <rFont val="Pero"/>
        <family val="2"/>
      </rPr>
      <t xml:space="preserve">Coffee price development: </t>
    </r>
    <r>
      <rPr>
        <sz val="11"/>
        <color theme="1"/>
        <rFont val="Pero"/>
        <family val="2"/>
      </rPr>
      <t xml:space="preserve">Average coffee price changes have a direct and substantial influence on the SROI. At the base case of 100% realisation of TNS yield benefit estimates, the SROI ranges from 4,0 at a −30% price change to 7,0 at a +30% price change. At lower benefit realisation levels (e.g. 40%), even a +30% price increase only yields an SROI of 2,5. The project remains above breakeven across all tested price scenarios at high realisation rates, but falls to an SROI of 1,2 at the lowest realisation and most adverse price assumption tested.
</t>
    </r>
    <r>
      <rPr>
        <b/>
        <sz val="11"/>
        <color theme="1"/>
        <rFont val="Pero"/>
        <family val="2"/>
      </rPr>
      <t xml:space="preserve">Prospective yields of unstumped and stumped trees: </t>
    </r>
    <r>
      <rPr>
        <sz val="11"/>
        <color theme="1"/>
        <rFont val="Pero"/>
        <family val="2"/>
      </rPr>
      <t>The yield assumptions for both unstumped and stumped trees are the most critical drivers of the SROI. The two bottom tables illustrate this joint sensitivity: the SROI of 5,5 in the base case (100% realisation, 100% of TNS unstumped yield estimate) drops to 1,5 when only 40% of the TNS yield benefit is realised against a 40% unstumped yield baseline. The prospective yield of unstumped trees amplifies the sensitivity: a lower unstumped baseline substantially reduces the relative gain from stumping, decreasing the SROI, while a higher unstumped baseline increases it. These two yield parameters should therefore be subject to careful field validation.
Overall the sensitivity analysis shows that the program is robust: even in conservative assumptions, SROI stays above 1</t>
    </r>
  </si>
  <si>
    <t>Driver</t>
  </si>
  <si>
    <t>Base</t>
  </si>
  <si>
    <t>Note</t>
  </si>
  <si>
    <t>Master input. Assumptions reads this cell.</t>
  </si>
  <si>
    <t>Non-implementation cost share deducted*</t>
  </si>
  <si>
    <t>Master input. % will be deducted from annual budget.</t>
  </si>
  <si>
    <t>Unstumped yield (assumption realization rate of TNS model)*</t>
  </si>
  <si>
    <t>Yield benefit of stumping*  (assumption realization rate of TNS model)*</t>
  </si>
  <si>
    <t>SROI (based on entries in column "Value")</t>
  </si>
  <si>
    <t>3) Number of HHs reached</t>
  </si>
  <si>
    <t>4) External parameters used in the analysis</t>
  </si>
  <si>
    <t>1) Incremental Cash-flows HH level</t>
  </si>
  <si>
    <t>2) Incremental cash-flow total project discounted</t>
  </si>
  <si>
    <t xml:space="preserve">3) Project Costs </t>
  </si>
  <si>
    <t>4) Present Value (in 2021 EUR)</t>
  </si>
  <si>
    <t>5) Project SROI</t>
  </si>
  <si>
    <t>1) Sensitivity analysis</t>
  </si>
  <si>
    <t>Number of Households reached C23</t>
  </si>
  <si>
    <t>v4</t>
  </si>
  <si>
    <t>To test different scenarios change the data in column "Value". Reinsert the values from column "Base" into the column "Value" to reproduce the original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</si>
</sst>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_-;\-* #,##0_-;_-* &quot;-&quot;??_-;_-@_-"/>
    <numFmt numFmtId="165" formatCode="_-* #,##0.00\ [$€-407]_-;\-* #,##0.00\ [$€-407]_-;_-* &quot;-&quot;??\ [$€-407]_-;_-@_-"/>
    <numFmt numFmtId="166" formatCode="#,##0\ &quot;€&quot;"/>
    <numFmt numFmtId="167" formatCode="0.0"/>
    <numFmt numFmtId="168" formatCode="#,##0.0"/>
    <numFmt numFmtId="169" formatCode="0.0%"/>
    <numFmt numFmtId="170" formatCode="_-* #,##0\ [$€-407]_-;\-* #,##0\ [$€-407]_-;_-* &quot;-&quot;\ [$€-407]_-;_-@_-"/>
    <numFmt numFmtId="171" formatCode="#,##0\ [$€-407];\-#,##0\ [$€-407]"/>
    <numFmt numFmtId="172" formatCode="_-* #,##0.0\ [$€-407]_-;\-* #,##0.0\ [$€-407]_-;_-* &quot;-&quot;?\ [$€-407]_-;_-@_-"/>
    <numFmt numFmtId="173" formatCode="0.000"/>
    <numFmt numFmtId="174" formatCode="#,##0.00\ &quot;€&quot;"/>
    <numFmt numFmtId="175" formatCode="#,##0_ ;\-#,##0\ "/>
    <numFmt numFmtId="176" formatCode="#,##0.0_ ;\-#,##0.0\ "/>
    <numFmt numFmtId="177" formatCode="#,##0\ [$ETB];\-#,##0\ [$ETB]"/>
    <numFmt numFmtId="178" formatCode="#,##0\ _€"/>
  </numFmts>
  <fonts count="50" x14ac:knownFonts="1">
    <font>
      <sz val="11"/>
      <color theme="1"/>
      <name val="Calibri"/>
      <family val="2"/>
      <scheme val="minor"/>
    </font>
    <font>
      <sz val="11"/>
      <color theme="1"/>
      <name val="Pero"/>
      <family val="2"/>
    </font>
    <font>
      <sz val="11"/>
      <color theme="1"/>
      <name val="Pero"/>
      <family val="2"/>
    </font>
    <font>
      <sz val="11"/>
      <color theme="1"/>
      <name val="Calibri"/>
      <family val="2"/>
      <scheme val="minor"/>
    </font>
    <font>
      <sz val="11"/>
      <color theme="1"/>
      <name val="Pero"/>
      <family val="2"/>
    </font>
    <font>
      <sz val="11"/>
      <color rgb="FFFF0000"/>
      <name val="Pero"/>
      <family val="2"/>
    </font>
    <font>
      <u/>
      <sz val="11"/>
      <color theme="10"/>
      <name val="Calibri"/>
      <family val="2"/>
      <scheme val="minor"/>
    </font>
    <font>
      <sz val="16"/>
      <color theme="1"/>
      <name val="Pero ExtraBold"/>
      <family val="2"/>
    </font>
    <font>
      <sz val="11"/>
      <name val="Pero"/>
      <family val="2"/>
    </font>
    <font>
      <b/>
      <sz val="11"/>
      <color theme="1"/>
      <name val="Pero"/>
      <family val="2"/>
    </font>
    <font>
      <b/>
      <sz val="14"/>
      <color theme="1"/>
      <name val="Calibri"/>
      <family val="2"/>
      <scheme val="minor"/>
    </font>
    <font>
      <sz val="11"/>
      <color theme="1"/>
      <name val="Pero ExtraBold"/>
      <family val="2"/>
    </font>
    <font>
      <b/>
      <sz val="12"/>
      <color theme="1"/>
      <name val="Pero ExtraBold"/>
      <family val="2"/>
    </font>
    <font>
      <b/>
      <sz val="16"/>
      <color theme="1"/>
      <name val="Pero ExtraBold"/>
      <family val="2"/>
    </font>
    <font>
      <sz val="14"/>
      <color theme="1"/>
      <name val="Pero ExtraBold"/>
      <family val="2"/>
    </font>
    <font>
      <sz val="20"/>
      <color theme="1"/>
      <name val="Pero ExtraBold"/>
      <family val="2"/>
    </font>
    <font>
      <u/>
      <sz val="11"/>
      <color theme="10"/>
      <name val="Pero"/>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sz val="11"/>
      <color rgb="FF3F3F76"/>
      <name val="Pero"/>
      <family val="2"/>
    </font>
    <font>
      <b/>
      <sz val="14"/>
      <color indexed="8"/>
      <name val="Calibri"/>
      <family val="2"/>
      <scheme val="minor"/>
    </font>
    <font>
      <b/>
      <sz val="11"/>
      <color theme="1"/>
      <name val="Pero ExtraBold"/>
      <family val="2"/>
    </font>
    <font>
      <b/>
      <sz val="11"/>
      <color theme="1"/>
      <name val="Calibri"/>
      <family val="2"/>
      <scheme val="minor"/>
    </font>
    <font>
      <b/>
      <sz val="16"/>
      <color indexed="8"/>
      <name val="Pero"/>
      <family val="2"/>
    </font>
    <font>
      <b/>
      <sz val="11"/>
      <color indexed="8"/>
      <name val="Pero"/>
      <family val="2"/>
    </font>
    <font>
      <b/>
      <sz val="14"/>
      <color theme="1"/>
      <name val="Pero"/>
      <family val="2"/>
    </font>
    <font>
      <b/>
      <sz val="14"/>
      <color theme="0"/>
      <name val="Pero"/>
      <family val="2"/>
    </font>
    <font>
      <sz val="8"/>
      <color theme="1"/>
      <name val="Pero"/>
      <family val="2"/>
    </font>
    <font>
      <sz val="11"/>
      <color rgb="FF000000"/>
      <name val="Pero"/>
      <family val="2"/>
    </font>
    <font>
      <sz val="10"/>
      <color theme="0"/>
      <name val="Pero"/>
      <family val="2"/>
    </font>
    <font>
      <sz val="11"/>
      <color theme="0"/>
      <name val="Calibri"/>
      <family val="2"/>
      <scheme val="minor"/>
    </font>
    <font>
      <sz val="11"/>
      <color theme="0"/>
      <name val="Pero"/>
      <family val="2"/>
    </font>
    <font>
      <sz val="12"/>
      <color theme="1"/>
      <name val="Pero ExtraBold"/>
      <family val="2"/>
    </font>
    <font>
      <sz val="9"/>
      <color theme="1"/>
      <name val="Segoe UI"/>
      <family val="2"/>
    </font>
    <font>
      <i/>
      <sz val="11"/>
      <color theme="1"/>
      <name val="Pero"/>
      <family val="2"/>
    </font>
    <font>
      <b/>
      <sz val="11"/>
      <name val="Pero"/>
      <family val="2"/>
    </font>
    <font>
      <sz val="10"/>
      <color theme="1"/>
      <name val="Pero"/>
      <family val="2"/>
    </font>
    <font>
      <sz val="12"/>
      <name val="Pero ExtraBold"/>
      <family val="2"/>
    </font>
    <font>
      <sz val="14"/>
      <color indexed="8"/>
      <name val="Pero ExtraBold"/>
      <family val="2"/>
    </font>
    <font>
      <sz val="10"/>
      <color theme="1"/>
      <name val="Pero ExtraBold"/>
      <family val="2"/>
    </font>
    <font>
      <sz val="11"/>
      <name val="Pero ExtraBold"/>
      <family val="2"/>
    </font>
    <font>
      <sz val="11"/>
      <color indexed="8"/>
      <name val="Pero ExtraBold"/>
      <family val="2"/>
    </font>
    <font>
      <b/>
      <sz val="11"/>
      <color rgb="FF000000"/>
      <name val="Pero"/>
      <family val="2"/>
    </font>
    <font>
      <b/>
      <sz val="11"/>
      <color rgb="FF1F3864"/>
      <name val="Pero"/>
      <family val="2"/>
    </font>
    <font>
      <sz val="11"/>
      <color theme="1"/>
      <name val="Pero"/>
      <family val="2"/>
    </font>
    <font>
      <sz val="10"/>
      <name val="Pero"/>
      <family val="2"/>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C8AFBE"/>
        <bgColor indexed="64"/>
      </patternFill>
    </fill>
    <fill>
      <patternFill patternType="solid">
        <fgColor theme="0"/>
        <bgColor indexed="64"/>
      </patternFill>
    </fill>
    <fill>
      <patternFill patternType="solid">
        <fgColor rgb="FFFFCC99"/>
      </patternFill>
    </fill>
    <fill>
      <patternFill patternType="solid">
        <fgColor theme="0" tint="-4.9989318521683403E-2"/>
        <bgColor indexed="64"/>
      </patternFill>
    </fill>
    <fill>
      <patternFill patternType="solid">
        <fgColor rgb="FFDCA591"/>
        <bgColor indexed="64"/>
      </patternFill>
    </fill>
    <fill>
      <patternFill patternType="solid">
        <fgColor rgb="FFCDD2B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
      <left style="thin">
        <color indexed="64"/>
      </left>
      <right style="thin">
        <color indexed="64"/>
      </right>
      <top/>
      <bottom/>
      <diagonal/>
    </border>
  </borders>
  <cellStyleXfs count="6">
    <xf numFmtId="0" fontId="0" fillId="0" borderId="0"/>
    <xf numFmtId="43" fontId="3" fillId="0" borderId="0" applyFont="0" applyFill="0" applyBorder="0" applyAlignment="0" applyProtection="0"/>
    <xf numFmtId="0" fontId="6" fillId="0" borderId="0" applyNumberFormat="0" applyFill="0" applyBorder="0" applyAlignment="0" applyProtection="0"/>
    <xf numFmtId="9" fontId="3" fillId="0" borderId="0" applyFont="0" applyFill="0" applyBorder="0" applyAlignment="0" applyProtection="0"/>
    <xf numFmtId="0" fontId="18" fillId="7" borderId="9" applyNumberFormat="0" applyAlignment="0" applyProtection="0"/>
    <xf numFmtId="0" fontId="19" fillId="0" borderId="0"/>
  </cellStyleXfs>
  <cellXfs count="351">
    <xf numFmtId="0" fontId="0" fillId="0" borderId="0" xfId="0"/>
    <xf numFmtId="0" fontId="4" fillId="0" borderId="0" xfId="0" applyFont="1"/>
    <xf numFmtId="0" fontId="9" fillId="0" borderId="0" xfId="0" applyFont="1"/>
    <xf numFmtId="0" fontId="11" fillId="0" borderId="1" xfId="0" applyFont="1" applyBorder="1"/>
    <xf numFmtId="0" fontId="12" fillId="5" borderId="1" xfId="0" applyFont="1" applyFill="1" applyBorder="1" applyAlignment="1">
      <alignment horizontal="right"/>
    </xf>
    <xf numFmtId="3" fontId="11" fillId="0" borderId="1" xfId="0" applyNumberFormat="1" applyFont="1" applyBorder="1"/>
    <xf numFmtId="0" fontId="11" fillId="3" borderId="1" xfId="0" applyFont="1" applyFill="1" applyBorder="1"/>
    <xf numFmtId="164" fontId="11" fillId="3" borderId="1" xfId="0" applyNumberFormat="1" applyFont="1" applyFill="1" applyBorder="1"/>
    <xf numFmtId="0" fontId="12" fillId="5" borderId="2" xfId="0" applyFont="1" applyFill="1" applyBorder="1" applyAlignment="1">
      <alignment horizontal="left"/>
    </xf>
    <xf numFmtId="0" fontId="7" fillId="0" borderId="3" xfId="0" applyFont="1" applyBorder="1"/>
    <xf numFmtId="0" fontId="6" fillId="0" borderId="0" xfId="2" applyBorder="1" applyAlignment="1"/>
    <xf numFmtId="171" fontId="0" fillId="0" borderId="0" xfId="0" applyNumberFormat="1"/>
    <xf numFmtId="0" fontId="20" fillId="4" borderId="0" xfId="5" applyFont="1" applyFill="1" applyAlignment="1">
      <alignment horizontal="left"/>
    </xf>
    <xf numFmtId="0" fontId="0" fillId="0" borderId="0" xfId="0" applyAlignment="1">
      <alignment vertical="center"/>
    </xf>
    <xf numFmtId="0" fontId="0" fillId="0" borderId="0" xfId="0" applyAlignment="1">
      <alignment wrapText="1"/>
    </xf>
    <xf numFmtId="0" fontId="0" fillId="6" borderId="10" xfId="0" applyFill="1" applyBorder="1" applyAlignment="1">
      <alignment horizontal="left" vertical="center"/>
    </xf>
    <xf numFmtId="0" fontId="0" fillId="6" borderId="11" xfId="0" applyFill="1" applyBorder="1" applyAlignment="1">
      <alignment horizontal="left" vertical="center"/>
    </xf>
    <xf numFmtId="0" fontId="0" fillId="6" borderId="11" xfId="0" applyFill="1" applyBorder="1" applyAlignment="1">
      <alignment wrapText="1"/>
    </xf>
    <xf numFmtId="0" fontId="0" fillId="6" borderId="11" xfId="0" applyFill="1" applyBorder="1"/>
    <xf numFmtId="0" fontId="0" fillId="6" borderId="12" xfId="0" applyFill="1" applyBorder="1"/>
    <xf numFmtId="0" fontId="20" fillId="6" borderId="13" xfId="5" applyFont="1" applyFill="1" applyBorder="1" applyAlignment="1">
      <alignment horizontal="left"/>
    </xf>
    <xf numFmtId="0" fontId="27" fillId="3" borderId="0" xfId="5" applyFont="1" applyFill="1" applyAlignment="1">
      <alignment horizontal="left" vertical="center"/>
    </xf>
    <xf numFmtId="0" fontId="27" fillId="3" borderId="0" xfId="5" applyFont="1" applyFill="1" applyAlignment="1">
      <alignment horizontal="center" vertical="center"/>
    </xf>
    <xf numFmtId="0" fontId="0" fillId="3" borderId="0" xfId="0" applyFill="1"/>
    <xf numFmtId="0" fontId="0" fillId="6" borderId="0" xfId="0" applyFill="1"/>
    <xf numFmtId="0" fontId="0" fillId="6" borderId="14" xfId="0" applyFill="1" applyBorder="1"/>
    <xf numFmtId="0" fontId="0" fillId="6" borderId="13" xfId="0" applyFill="1" applyBorder="1" applyAlignment="1">
      <alignment horizontal="left" vertical="center"/>
    </xf>
    <xf numFmtId="0" fontId="0" fillId="6" borderId="0" xfId="0" applyFill="1" applyAlignment="1">
      <alignment horizontal="left" vertical="center"/>
    </xf>
    <xf numFmtId="0" fontId="0" fillId="6" borderId="0" xfId="0" applyFill="1" applyAlignment="1">
      <alignment wrapText="1"/>
    </xf>
    <xf numFmtId="0" fontId="20" fillId="4" borderId="13" xfId="5" applyFont="1" applyFill="1" applyBorder="1" applyAlignment="1">
      <alignment horizontal="left" vertical="center"/>
    </xf>
    <xf numFmtId="0" fontId="20" fillId="4" borderId="0" xfId="5" applyFont="1" applyFill="1" applyAlignment="1">
      <alignment horizontal="left" vertical="center"/>
    </xf>
    <xf numFmtId="0" fontId="20" fillId="4" borderId="0" xfId="5" applyFont="1" applyFill="1" applyAlignment="1">
      <alignment horizontal="left" wrapText="1"/>
    </xf>
    <xf numFmtId="0" fontId="0" fillId="4" borderId="0" xfId="0" applyFill="1"/>
    <xf numFmtId="0" fontId="0" fillId="4" borderId="14" xfId="0" applyFill="1" applyBorder="1"/>
    <xf numFmtId="0" fontId="20" fillId="6" borderId="0" xfId="5" applyFont="1" applyFill="1" applyAlignment="1">
      <alignment horizontal="left" vertical="center"/>
    </xf>
    <xf numFmtId="0" fontId="20" fillId="6" borderId="0" xfId="5" applyFont="1" applyFill="1" applyAlignment="1">
      <alignment horizontal="left" wrapText="1"/>
    </xf>
    <xf numFmtId="0" fontId="20" fillId="6" borderId="0" xfId="5" applyFont="1" applyFill="1" applyAlignment="1">
      <alignment horizontal="left"/>
    </xf>
    <xf numFmtId="0" fontId="28" fillId="6" borderId="15" xfId="5" applyFont="1" applyFill="1" applyBorder="1" applyAlignment="1">
      <alignment horizontal="left" vertical="center"/>
    </xf>
    <xf numFmtId="0" fontId="20" fillId="6" borderId="15" xfId="5" applyFont="1" applyFill="1" applyBorder="1" applyAlignment="1">
      <alignment horizontal="left"/>
    </xf>
    <xf numFmtId="0" fontId="9" fillId="6" borderId="15" xfId="0" applyFont="1" applyFill="1" applyBorder="1" applyAlignment="1">
      <alignment horizontal="left" vertical="center"/>
    </xf>
    <xf numFmtId="0" fontId="16" fillId="6" borderId="15" xfId="2" applyFont="1" applyFill="1" applyBorder="1" applyAlignment="1">
      <alignment wrapText="1"/>
    </xf>
    <xf numFmtId="0" fontId="16" fillId="6" borderId="15" xfId="2" applyFont="1" applyFill="1" applyBorder="1"/>
    <xf numFmtId="0" fontId="9" fillId="6" borderId="0" xfId="0" applyFont="1" applyFill="1" applyAlignment="1">
      <alignment horizontal="left" vertical="center"/>
    </xf>
    <xf numFmtId="0" fontId="20" fillId="4" borderId="14" xfId="5" applyFont="1" applyFill="1" applyBorder="1" applyAlignment="1">
      <alignment horizontal="left"/>
    </xf>
    <xf numFmtId="0" fontId="20" fillId="6" borderId="13" xfId="5" applyFont="1" applyFill="1" applyBorder="1" applyAlignment="1">
      <alignment horizontal="left" vertical="center"/>
    </xf>
    <xf numFmtId="0" fontId="29" fillId="6" borderId="13" xfId="0" applyFont="1" applyFill="1" applyBorder="1" applyAlignment="1">
      <alignment horizontal="left" vertical="center"/>
    </xf>
    <xf numFmtId="0" fontId="9" fillId="6" borderId="13" xfId="0" applyFont="1" applyFill="1" applyBorder="1" applyAlignment="1">
      <alignment horizontal="left" vertical="center"/>
    </xf>
    <xf numFmtId="0" fontId="26" fillId="6" borderId="13" xfId="0" applyFont="1" applyFill="1" applyBorder="1" applyAlignment="1">
      <alignment horizontal="left" vertical="center"/>
    </xf>
    <xf numFmtId="0" fontId="26" fillId="6" borderId="0" xfId="0" applyFont="1" applyFill="1" applyAlignment="1">
      <alignment horizontal="left" vertical="center"/>
    </xf>
    <xf numFmtId="0" fontId="0" fillId="6" borderId="0" xfId="0" applyFill="1" applyAlignment="1">
      <alignment horizontal="left"/>
    </xf>
    <xf numFmtId="0" fontId="0" fillId="6" borderId="13" xfId="0" applyFill="1" applyBorder="1" applyAlignment="1">
      <alignment horizontal="left"/>
    </xf>
    <xf numFmtId="0" fontId="29" fillId="6" borderId="1" xfId="0" applyFont="1" applyFill="1" applyBorder="1" applyAlignment="1">
      <alignment horizontal="left"/>
    </xf>
    <xf numFmtId="166" fontId="0" fillId="6" borderId="0" xfId="0" applyNumberFormat="1" applyFill="1" applyAlignment="1">
      <alignment horizontal="left"/>
    </xf>
    <xf numFmtId="0" fontId="0" fillId="6" borderId="17" xfId="0" applyFill="1" applyBorder="1" applyAlignment="1">
      <alignment horizontal="left" vertical="center"/>
    </xf>
    <xf numFmtId="0" fontId="0" fillId="6" borderId="18" xfId="0" applyFill="1" applyBorder="1" applyAlignment="1">
      <alignment wrapText="1"/>
    </xf>
    <xf numFmtId="0" fontId="0" fillId="6" borderId="18" xfId="0" applyFill="1" applyBorder="1"/>
    <xf numFmtId="0" fontId="0" fillId="6" borderId="19" xfId="0" applyFill="1" applyBorder="1"/>
    <xf numFmtId="0" fontId="0" fillId="0" borderId="0" xfId="0" applyAlignment="1">
      <alignment horizontal="left" vertical="center"/>
    </xf>
    <xf numFmtId="170" fontId="0" fillId="0" borderId="0" xfId="0" applyNumberFormat="1" applyAlignment="1">
      <alignment horizontal="left"/>
    </xf>
    <xf numFmtId="0" fontId="0" fillId="6" borderId="4" xfId="0" applyFill="1" applyBorder="1" applyAlignment="1">
      <alignment vertical="center"/>
    </xf>
    <xf numFmtId="0" fontId="25" fillId="0" borderId="21" xfId="0" applyFont="1" applyBorder="1" applyAlignment="1">
      <alignment horizontal="left" vertical="center" wrapText="1"/>
    </xf>
    <xf numFmtId="0" fontId="0" fillId="0" borderId="1" xfId="0" applyBorder="1" applyAlignment="1">
      <alignment wrapText="1"/>
    </xf>
    <xf numFmtId="0" fontId="20" fillId="4" borderId="23" xfId="5" applyFont="1" applyFill="1" applyBorder="1" applyAlignment="1">
      <alignment horizontal="left"/>
    </xf>
    <xf numFmtId="0" fontId="20" fillId="4" borderId="6" xfId="5" applyFont="1" applyFill="1" applyBorder="1" applyAlignment="1">
      <alignment horizontal="left"/>
    </xf>
    <xf numFmtId="0" fontId="20" fillId="4" borderId="7" xfId="5" applyFont="1" applyFill="1" applyBorder="1" applyAlignment="1">
      <alignment horizontal="left"/>
    </xf>
    <xf numFmtId="0" fontId="0" fillId="0" borderId="4" xfId="0" applyBorder="1"/>
    <xf numFmtId="0" fontId="0" fillId="0" borderId="8" xfId="0" applyBorder="1"/>
    <xf numFmtId="0" fontId="20" fillId="4" borderId="8" xfId="5" applyFont="1" applyFill="1" applyBorder="1" applyAlignment="1">
      <alignment horizontal="left"/>
    </xf>
    <xf numFmtId="0" fontId="24" fillId="4" borderId="4" xfId="5" applyFont="1" applyFill="1" applyBorder="1" applyAlignment="1">
      <alignment horizontal="left"/>
    </xf>
    <xf numFmtId="0" fontId="20" fillId="4" borderId="4" xfId="5" applyFont="1" applyFill="1" applyBorder="1" applyAlignment="1">
      <alignment horizontal="left"/>
    </xf>
    <xf numFmtId="0" fontId="0" fillId="0" borderId="8" xfId="0" applyBorder="1" applyAlignment="1">
      <alignment vertical="center"/>
    </xf>
    <xf numFmtId="0" fontId="0" fillId="0" borderId="20" xfId="0" applyBorder="1"/>
    <xf numFmtId="0" fontId="0" fillId="0" borderId="3" xfId="0" applyBorder="1"/>
    <xf numFmtId="0" fontId="0" fillId="0" borderId="5" xfId="0" applyBorder="1"/>
    <xf numFmtId="164" fontId="0" fillId="0" borderId="0" xfId="1" applyNumberFormat="1" applyFont="1" applyBorder="1"/>
    <xf numFmtId="0" fontId="0" fillId="0" borderId="3" xfId="0" applyBorder="1" applyAlignment="1">
      <alignment wrapText="1"/>
    </xf>
    <xf numFmtId="170" fontId="0" fillId="6" borderId="0" xfId="0" applyNumberFormat="1" applyFill="1" applyAlignment="1">
      <alignment wrapText="1"/>
    </xf>
    <xf numFmtId="1" fontId="23" fillId="0" borderId="0" xfId="3" applyNumberFormat="1" applyFont="1" applyFill="1" applyBorder="1" applyAlignment="1">
      <alignment horizontal="center" vertical="center"/>
    </xf>
    <xf numFmtId="178" fontId="8" fillId="0" borderId="1" xfId="0" applyNumberFormat="1" applyFont="1" applyBorder="1"/>
    <xf numFmtId="164" fontId="0" fillId="0" borderId="0" xfId="1" applyNumberFormat="1" applyFont="1" applyFill="1" applyBorder="1"/>
    <xf numFmtId="167" fontId="14" fillId="6" borderId="1" xfId="0" applyNumberFormat="1" applyFont="1" applyFill="1" applyBorder="1" applyAlignment="1">
      <alignment vertical="center" wrapText="1"/>
    </xf>
    <xf numFmtId="0" fontId="9" fillId="6" borderId="15" xfId="0" applyFont="1" applyFill="1" applyBorder="1" applyAlignment="1">
      <alignment horizontal="left" vertical="center" wrapText="1"/>
    </xf>
    <xf numFmtId="169" fontId="38" fillId="0" borderId="4" xfId="0" applyNumberFormat="1" applyFont="1" applyBorder="1"/>
    <xf numFmtId="0" fontId="26" fillId="6" borderId="0" xfId="0" applyFont="1" applyFill="1"/>
    <xf numFmtId="167" fontId="34" fillId="6" borderId="0" xfId="0" applyNumberFormat="1" applyFont="1" applyFill="1"/>
    <xf numFmtId="169" fontId="9" fillId="6" borderId="0" xfId="0" applyNumberFormat="1" applyFont="1" applyFill="1"/>
    <xf numFmtId="167" fontId="0" fillId="6" borderId="0" xfId="0" applyNumberFormat="1" applyFill="1"/>
    <xf numFmtId="0" fontId="9" fillId="6" borderId="0" xfId="0" applyFont="1" applyFill="1"/>
    <xf numFmtId="0" fontId="17" fillId="0" borderId="8" xfId="0" applyFont="1" applyBorder="1" applyAlignment="1">
      <alignment vertical="center"/>
    </xf>
    <xf numFmtId="0" fontId="7" fillId="0" borderId="5" xfId="0" applyFont="1" applyBorder="1"/>
    <xf numFmtId="0" fontId="20" fillId="6" borderId="4" xfId="5" applyFont="1" applyFill="1" applyBorder="1" applyAlignment="1">
      <alignment horizontal="left"/>
    </xf>
    <xf numFmtId="0" fontId="20" fillId="0" borderId="4" xfId="5" applyFont="1" applyBorder="1" applyAlignment="1">
      <alignment horizontal="left"/>
    </xf>
    <xf numFmtId="0" fontId="16" fillId="0" borderId="1" xfId="2" applyFont="1" applyBorder="1" applyAlignment="1">
      <alignment horizontal="left" vertical="center"/>
    </xf>
    <xf numFmtId="9" fontId="9" fillId="10" borderId="3" xfId="0" applyNumberFormat="1" applyFont="1" applyFill="1" applyBorder="1"/>
    <xf numFmtId="9" fontId="9" fillId="10" borderId="4" xfId="0" applyNumberFormat="1" applyFont="1" applyFill="1" applyBorder="1"/>
    <xf numFmtId="169" fontId="9" fillId="10" borderId="3" xfId="0" applyNumberFormat="1" applyFont="1" applyFill="1" applyBorder="1"/>
    <xf numFmtId="169" fontId="9" fillId="10" borderId="4" xfId="0" applyNumberFormat="1" applyFont="1" applyFill="1" applyBorder="1"/>
    <xf numFmtId="0" fontId="9" fillId="10" borderId="4" xfId="0" applyFont="1" applyFill="1" applyBorder="1"/>
    <xf numFmtId="0" fontId="8" fillId="6" borderId="1" xfId="0" applyFont="1" applyFill="1" applyBorder="1" applyAlignment="1">
      <alignment horizontal="left" vertical="center"/>
    </xf>
    <xf numFmtId="0" fontId="8" fillId="6" borderId="1" xfId="0" applyFont="1" applyFill="1" applyBorder="1" applyAlignment="1">
      <alignment horizontal="left"/>
    </xf>
    <xf numFmtId="0" fontId="25" fillId="0" borderId="0" xfId="0" applyFont="1" applyAlignment="1">
      <alignment horizontal="left" vertical="center" wrapText="1"/>
    </xf>
    <xf numFmtId="0" fontId="36" fillId="5" borderId="1" xfId="0" applyFont="1" applyFill="1" applyBorder="1" applyAlignment="1">
      <alignment horizontal="left"/>
    </xf>
    <xf numFmtId="0" fontId="20" fillId="0" borderId="0" xfId="5" applyFont="1" applyAlignment="1">
      <alignment horizontal="left"/>
    </xf>
    <xf numFmtId="0" fontId="21" fillId="4" borderId="0" xfId="5" applyFont="1" applyFill="1"/>
    <xf numFmtId="0" fontId="21" fillId="4" borderId="8" xfId="5" applyFont="1" applyFill="1" applyBorder="1"/>
    <xf numFmtId="0" fontId="24" fillId="4" borderId="0" xfId="5" applyFont="1" applyFill="1" applyAlignment="1">
      <alignment horizontal="left"/>
    </xf>
    <xf numFmtId="0" fontId="9" fillId="0" borderId="0" xfId="0" applyFont="1" applyAlignment="1">
      <alignment horizontal="left" vertical="center" wrapText="1"/>
    </xf>
    <xf numFmtId="0" fontId="9" fillId="0" borderId="0" xfId="0" applyFont="1" applyAlignment="1">
      <alignment horizontal="center"/>
    </xf>
    <xf numFmtId="0" fontId="9" fillId="0" borderId="0" xfId="0" applyFont="1" applyAlignment="1">
      <alignment horizontal="left"/>
    </xf>
    <xf numFmtId="0" fontId="31" fillId="0" borderId="0" xfId="0" applyFont="1" applyAlignment="1">
      <alignment vertical="center" wrapText="1"/>
    </xf>
    <xf numFmtId="0" fontId="9" fillId="0" borderId="0" xfId="0" applyFont="1" applyAlignment="1">
      <alignment horizontal="left" vertical="center"/>
    </xf>
    <xf numFmtId="0" fontId="6" fillId="0" borderId="0" xfId="2" applyBorder="1" applyAlignment="1">
      <alignment horizontal="left" vertical="center" wrapText="1"/>
    </xf>
    <xf numFmtId="0" fontId="21" fillId="0" borderId="0" xfId="5" applyFont="1"/>
    <xf numFmtId="173" fontId="21" fillId="0" borderId="0" xfId="5" applyNumberFormat="1" applyFont="1" applyAlignment="1">
      <alignment horizontal="center"/>
    </xf>
    <xf numFmtId="173" fontId="21" fillId="4" borderId="0" xfId="5" applyNumberFormat="1" applyFont="1" applyFill="1" applyAlignment="1">
      <alignment horizontal="center"/>
    </xf>
    <xf numFmtId="0" fontId="7" fillId="0" borderId="0" xfId="0" applyFont="1" applyAlignment="1">
      <alignment horizontal="left"/>
    </xf>
    <xf numFmtId="0" fontId="10" fillId="0" borderId="0" xfId="0" applyFont="1"/>
    <xf numFmtId="0" fontId="13" fillId="0" borderId="0" xfId="0" applyFont="1"/>
    <xf numFmtId="0" fontId="0" fillId="0" borderId="0" xfId="0" applyAlignment="1">
      <alignment horizontal="left"/>
    </xf>
    <xf numFmtId="0" fontId="16" fillId="6" borderId="1" xfId="2" applyFont="1" applyFill="1" applyBorder="1" applyAlignment="1">
      <alignment horizontal="left"/>
    </xf>
    <xf numFmtId="0" fontId="0" fillId="0" borderId="1" xfId="0" applyBorder="1"/>
    <xf numFmtId="0" fontId="32" fillId="0" borderId="1" xfId="0" quotePrefix="1" applyFont="1" applyBorder="1" applyAlignment="1">
      <alignment horizontal="left" vertical="center"/>
    </xf>
    <xf numFmtId="1" fontId="0" fillId="0" borderId="1" xfId="0" applyNumberFormat="1" applyBorder="1" applyAlignment="1">
      <alignment vertical="center"/>
    </xf>
    <xf numFmtId="0" fontId="36" fillId="5" borderId="1" xfId="0" applyFont="1" applyFill="1" applyBorder="1"/>
    <xf numFmtId="0" fontId="36" fillId="5" borderId="1" xfId="0" applyFont="1" applyFill="1" applyBorder="1" applyAlignment="1">
      <alignment horizontal="left" wrapText="1"/>
    </xf>
    <xf numFmtId="0" fontId="36" fillId="5" borderId="1" xfId="0" applyFont="1" applyFill="1" applyBorder="1" applyAlignment="1">
      <alignment horizontal="right"/>
    </xf>
    <xf numFmtId="1" fontId="36" fillId="2" borderId="1" xfId="0" applyNumberFormat="1" applyFont="1" applyFill="1" applyBorder="1"/>
    <xf numFmtId="0" fontId="36" fillId="5" borderId="1" xfId="0" applyFont="1" applyFill="1" applyBorder="1" applyAlignment="1">
      <alignment wrapText="1"/>
    </xf>
    <xf numFmtId="1" fontId="36" fillId="5" borderId="1" xfId="0" applyNumberFormat="1" applyFont="1" applyFill="1" applyBorder="1" applyAlignment="1">
      <alignment horizontal="right"/>
    </xf>
    <xf numFmtId="0" fontId="12" fillId="5" borderId="1" xfId="0" applyFont="1" applyFill="1" applyBorder="1" applyAlignment="1">
      <alignment horizontal="right" wrapText="1"/>
    </xf>
    <xf numFmtId="0" fontId="14" fillId="0" borderId="1" xfId="0" applyFont="1" applyBorder="1" applyAlignment="1">
      <alignment vertical="center"/>
    </xf>
    <xf numFmtId="9" fontId="33" fillId="0" borderId="0" xfId="5" applyNumberFormat="1" applyFont="1"/>
    <xf numFmtId="0" fontId="37" fillId="0" borderId="0" xfId="0" applyFont="1"/>
    <xf numFmtId="0" fontId="5" fillId="0" borderId="0" xfId="0" applyFont="1"/>
    <xf numFmtId="173" fontId="21" fillId="4" borderId="0" xfId="5" applyNumberFormat="1" applyFont="1" applyFill="1" applyAlignment="1">
      <alignment horizontal="center" wrapText="1"/>
    </xf>
    <xf numFmtId="0" fontId="9" fillId="0" borderId="8" xfId="0" applyFont="1" applyBorder="1"/>
    <xf numFmtId="170" fontId="0" fillId="0" borderId="0" xfId="0" applyNumberFormat="1"/>
    <xf numFmtId="1" fontId="0" fillId="0" borderId="0" xfId="0" applyNumberFormat="1"/>
    <xf numFmtId="1" fontId="21" fillId="4" borderId="0" xfId="5" applyNumberFormat="1" applyFont="1" applyFill="1"/>
    <xf numFmtId="1" fontId="21" fillId="4" borderId="0" xfId="5" applyNumberFormat="1" applyFont="1" applyFill="1" applyAlignment="1">
      <alignment horizontal="center"/>
    </xf>
    <xf numFmtId="1" fontId="20" fillId="4" borderId="0" xfId="5" applyNumberFormat="1" applyFont="1" applyFill="1" applyAlignment="1">
      <alignment horizontal="left"/>
    </xf>
    <xf numFmtId="0" fontId="0" fillId="6" borderId="8" xfId="0" applyFill="1" applyBorder="1"/>
    <xf numFmtId="173" fontId="21" fillId="6" borderId="0" xfId="5" applyNumberFormat="1" applyFont="1" applyFill="1" applyAlignment="1">
      <alignment horizontal="center" wrapText="1"/>
    </xf>
    <xf numFmtId="0" fontId="21" fillId="6" borderId="0" xfId="5" applyFont="1" applyFill="1"/>
    <xf numFmtId="173" fontId="21" fillId="6" borderId="0" xfId="5" applyNumberFormat="1" applyFont="1" applyFill="1" applyAlignment="1">
      <alignment horizontal="center"/>
    </xf>
    <xf numFmtId="0" fontId="15" fillId="0" borderId="0" xfId="0" applyFont="1" applyAlignment="1">
      <alignment horizontal="left" vertical="center"/>
    </xf>
    <xf numFmtId="0" fontId="0" fillId="0" borderId="0" xfId="0" applyAlignment="1">
      <alignment horizontal="left" wrapText="1"/>
    </xf>
    <xf numFmtId="173" fontId="21" fillId="0" borderId="0" xfId="5" applyNumberFormat="1" applyFont="1" applyAlignment="1">
      <alignment horizontal="center" wrapText="1"/>
    </xf>
    <xf numFmtId="172" fontId="0" fillId="0" borderId="0" xfId="0" applyNumberFormat="1"/>
    <xf numFmtId="0" fontId="17" fillId="0" borderId="0" xfId="0" applyFont="1" applyAlignment="1">
      <alignment vertical="center" wrapText="1"/>
    </xf>
    <xf numFmtId="2" fontId="34" fillId="6" borderId="0" xfId="0" applyNumberFormat="1" applyFont="1" applyFill="1"/>
    <xf numFmtId="167" fontId="9" fillId="10" borderId="0" xfId="0" applyNumberFormat="1" applyFont="1" applyFill="1"/>
    <xf numFmtId="167" fontId="34" fillId="0" borderId="0" xfId="0" applyNumberFormat="1" applyFont="1"/>
    <xf numFmtId="167" fontId="35" fillId="0" borderId="0" xfId="0" applyNumberFormat="1" applyFont="1"/>
    <xf numFmtId="178" fontId="41" fillId="0" borderId="1" xfId="0" applyNumberFormat="1" applyFont="1" applyBorder="1"/>
    <xf numFmtId="1" fontId="11" fillId="2" borderId="1" xfId="0" applyNumberFormat="1" applyFont="1" applyFill="1" applyBorder="1"/>
    <xf numFmtId="1" fontId="11" fillId="2" borderId="1" xfId="0" applyNumberFormat="1" applyFont="1" applyFill="1" applyBorder="1" applyAlignment="1">
      <alignment horizontal="right"/>
    </xf>
    <xf numFmtId="0" fontId="36" fillId="0" borderId="1" xfId="0" applyFont="1" applyBorder="1" applyAlignment="1">
      <alignment vertical="center"/>
    </xf>
    <xf numFmtId="170" fontId="36" fillId="0" borderId="1" xfId="0" applyNumberFormat="1" applyFont="1" applyBorder="1" applyAlignment="1">
      <alignment vertical="center" wrapText="1"/>
    </xf>
    <xf numFmtId="170" fontId="36" fillId="0" borderId="1" xfId="0" applyNumberFormat="1" applyFont="1" applyBorder="1" applyAlignment="1">
      <alignment vertical="center"/>
    </xf>
    <xf numFmtId="169" fontId="36" fillId="0" borderId="1" xfId="0" applyNumberFormat="1" applyFont="1" applyBorder="1" applyAlignment="1">
      <alignment vertical="center"/>
    </xf>
    <xf numFmtId="0" fontId="42" fillId="4" borderId="0" xfId="5" applyFont="1" applyFill="1" applyAlignment="1">
      <alignment horizontal="left"/>
    </xf>
    <xf numFmtId="0" fontId="42" fillId="4" borderId="6" xfId="5" applyFont="1" applyFill="1" applyBorder="1" applyAlignment="1">
      <alignment horizontal="left"/>
    </xf>
    <xf numFmtId="0" fontId="14" fillId="4" borderId="0" xfId="5" applyFont="1" applyFill="1" applyAlignment="1">
      <alignment horizontal="left"/>
    </xf>
    <xf numFmtId="0" fontId="14" fillId="4" borderId="6" xfId="5" applyFont="1" applyFill="1" applyBorder="1" applyAlignment="1">
      <alignment horizontal="left"/>
    </xf>
    <xf numFmtId="167" fontId="22" fillId="0" borderId="0" xfId="0" applyNumberFormat="1" applyFont="1" applyAlignment="1">
      <alignment horizontal="right" vertical="center" wrapText="1"/>
    </xf>
    <xf numFmtId="0" fontId="3" fillId="0" borderId="0" xfId="0" applyFont="1" applyAlignment="1">
      <alignment horizontal="right"/>
    </xf>
    <xf numFmtId="0" fontId="25" fillId="0" borderId="21" xfId="0" applyFont="1" applyBorder="1" applyAlignment="1">
      <alignment horizontal="left" vertical="center"/>
    </xf>
    <xf numFmtId="0" fontId="22" fillId="0" borderId="1" xfId="5" applyFont="1" applyBorder="1" applyAlignment="1">
      <alignment horizontal="left" vertical="center"/>
    </xf>
    <xf numFmtId="0" fontId="39" fillId="6" borderId="1" xfId="0" applyFont="1" applyFill="1" applyBorder="1" applyAlignment="1">
      <alignment horizontal="left" vertical="center"/>
    </xf>
    <xf numFmtId="0" fontId="9" fillId="0" borderId="1" xfId="0" applyFont="1" applyBorder="1" applyAlignment="1">
      <alignment horizontal="left"/>
    </xf>
    <xf numFmtId="0" fontId="36" fillId="3" borderId="15" xfId="0" applyFont="1" applyFill="1" applyBorder="1" applyAlignment="1">
      <alignment horizontal="left" vertical="center" wrapText="1"/>
    </xf>
    <xf numFmtId="167" fontId="30" fillId="10" borderId="15" xfId="0" applyNumberFormat="1" applyFont="1" applyFill="1" applyBorder="1" applyAlignment="1">
      <alignment horizontal="left" vertical="center" wrapText="1"/>
    </xf>
    <xf numFmtId="0" fontId="9" fillId="6" borderId="31" xfId="0" applyFont="1" applyFill="1" applyBorder="1" applyAlignment="1">
      <alignment horizontal="left" vertical="center"/>
    </xf>
    <xf numFmtId="0" fontId="9" fillId="0" borderId="31" xfId="0" applyFont="1" applyBorder="1" applyAlignment="1">
      <alignment horizontal="left" vertical="center" wrapText="1"/>
    </xf>
    <xf numFmtId="0" fontId="11" fillId="5" borderId="1" xfId="0" applyFont="1" applyFill="1" applyBorder="1" applyAlignment="1">
      <alignment horizontal="center"/>
    </xf>
    <xf numFmtId="0" fontId="11" fillId="5" borderId="1" xfId="0" applyFont="1" applyFill="1" applyBorder="1" applyAlignment="1">
      <alignment horizontal="center" vertical="center"/>
    </xf>
    <xf numFmtId="0" fontId="45" fillId="5" borderId="1" xfId="5" applyFont="1" applyFill="1" applyBorder="1" applyAlignment="1">
      <alignment horizontal="center" vertical="center"/>
    </xf>
    <xf numFmtId="0" fontId="45" fillId="5" borderId="1" xfId="5" applyFont="1" applyFill="1" applyBorder="1" applyAlignment="1">
      <alignment horizontal="center" vertical="center" wrapText="1"/>
    </xf>
    <xf numFmtId="3" fontId="32" fillId="9" borderId="1" xfId="0" applyNumberFormat="1" applyFont="1" applyFill="1" applyBorder="1" applyAlignment="1">
      <alignment vertical="center" wrapText="1"/>
    </xf>
    <xf numFmtId="3" fontId="32" fillId="4" borderId="1" xfId="0" applyNumberFormat="1" applyFont="1" applyFill="1" applyBorder="1" applyAlignment="1">
      <alignment vertical="center" wrapText="1"/>
    </xf>
    <xf numFmtId="0" fontId="8" fillId="6" borderId="1" xfId="4" applyFont="1" applyFill="1" applyBorder="1" applyAlignment="1">
      <alignment horizontal="left"/>
    </xf>
    <xf numFmtId="0" fontId="8" fillId="6" borderId="1" xfId="4" applyFont="1" applyFill="1" applyBorder="1" applyAlignment="1">
      <alignment horizontal="center"/>
    </xf>
    <xf numFmtId="0" fontId="16" fillId="0" borderId="0" xfId="2" applyFont="1" applyBorder="1" applyAlignment="1"/>
    <xf numFmtId="0" fontId="0" fillId="0" borderId="0" xfId="0" applyAlignment="1">
      <alignment horizontal="center"/>
    </xf>
    <xf numFmtId="0" fontId="45" fillId="5" borderId="2" xfId="5" applyFont="1" applyFill="1" applyBorder="1" applyAlignment="1">
      <alignment horizontal="center" vertical="center" wrapText="1"/>
    </xf>
    <xf numFmtId="0" fontId="22" fillId="0" borderId="1" xfId="5" applyFont="1" applyBorder="1"/>
    <xf numFmtId="0" fontId="9" fillId="0" borderId="0" xfId="0" applyFont="1" applyAlignment="1">
      <alignment horizontal="center" wrapText="1"/>
    </xf>
    <xf numFmtId="0" fontId="46" fillId="0" borderId="0" xfId="0" applyFont="1" applyAlignment="1">
      <alignment vertical="center"/>
    </xf>
    <xf numFmtId="0" fontId="46" fillId="0" borderId="0" xfId="0" applyFont="1" applyAlignment="1">
      <alignment horizontal="left" vertical="center"/>
    </xf>
    <xf numFmtId="0" fontId="47" fillId="0" borderId="0" xfId="0" applyFont="1"/>
    <xf numFmtId="0" fontId="46" fillId="0" borderId="0" xfId="0" applyFont="1" applyAlignment="1">
      <alignment horizontal="right" vertical="center"/>
    </xf>
    <xf numFmtId="0" fontId="16" fillId="0" borderId="1" xfId="2" applyFont="1" applyFill="1" applyBorder="1" applyAlignment="1"/>
    <xf numFmtId="0" fontId="16" fillId="0" borderId="0" xfId="2" applyFont="1" applyBorder="1" applyAlignment="1">
      <alignment horizontal="left" vertical="center"/>
    </xf>
    <xf numFmtId="178" fontId="8" fillId="4" borderId="1" xfId="0" applyNumberFormat="1" applyFont="1" applyFill="1" applyBorder="1"/>
    <xf numFmtId="0" fontId="36" fillId="5" borderId="1" xfId="0" applyFont="1" applyFill="1" applyBorder="1" applyAlignment="1">
      <alignment horizontal="center"/>
    </xf>
    <xf numFmtId="0" fontId="36" fillId="5" borderId="1" xfId="0" applyFont="1" applyFill="1" applyBorder="1" applyAlignment="1">
      <alignment horizontal="center" wrapText="1"/>
    </xf>
    <xf numFmtId="0" fontId="2" fillId="4" borderId="0" xfId="0" applyFont="1" applyFill="1"/>
    <xf numFmtId="0" fontId="2" fillId="6" borderId="13" xfId="0" applyFont="1" applyFill="1" applyBorder="1"/>
    <xf numFmtId="0" fontId="2" fillId="6" borderId="0" xfId="0" applyFont="1" applyFill="1"/>
    <xf numFmtId="0" fontId="2" fillId="6" borderId="15" xfId="0" applyFont="1" applyFill="1" applyBorder="1" applyAlignment="1">
      <alignment wrapText="1"/>
    </xf>
    <xf numFmtId="0" fontId="2" fillId="6" borderId="15" xfId="0" applyFont="1" applyFill="1" applyBorder="1"/>
    <xf numFmtId="0" fontId="2" fillId="6" borderId="15" xfId="0" quotePrefix="1" applyFont="1" applyFill="1" applyBorder="1" applyAlignment="1">
      <alignment wrapText="1"/>
    </xf>
    <xf numFmtId="0" fontId="2" fillId="6" borderId="15" xfId="0" applyFont="1" applyFill="1" applyBorder="1" applyAlignment="1">
      <alignment vertical="center" wrapText="1"/>
    </xf>
    <xf numFmtId="174" fontId="2" fillId="6" borderId="15" xfId="0" applyNumberFormat="1" applyFont="1" applyFill="1" applyBorder="1" applyAlignment="1">
      <alignment horizontal="left" wrapText="1"/>
    </xf>
    <xf numFmtId="175" fontId="2" fillId="6" borderId="1" xfId="1" applyNumberFormat="1" applyFont="1" applyFill="1" applyBorder="1" applyAlignment="1">
      <alignment horizontal="left" vertical="center"/>
    </xf>
    <xf numFmtId="17" fontId="2" fillId="6" borderId="15" xfId="0" applyNumberFormat="1" applyFont="1" applyFill="1" applyBorder="1" applyAlignment="1">
      <alignment horizontal="left" wrapText="1"/>
    </xf>
    <xf numFmtId="0" fontId="2" fillId="6" borderId="0" xfId="0" applyFont="1" applyFill="1" applyAlignment="1">
      <alignment wrapText="1"/>
    </xf>
    <xf numFmtId="0" fontId="2" fillId="6" borderId="31" xfId="0" applyFont="1" applyFill="1" applyBorder="1" applyAlignment="1">
      <alignment vertical="center" wrapText="1"/>
    </xf>
    <xf numFmtId="167" fontId="2" fillId="0" borderId="31" xfId="0" applyNumberFormat="1" applyFont="1" applyBorder="1" applyAlignment="1">
      <alignment horizontal="left"/>
    </xf>
    <xf numFmtId="0" fontId="2" fillId="6" borderId="13" xfId="0" applyFont="1" applyFill="1" applyBorder="1" applyAlignment="1">
      <alignment horizontal="left" vertical="center"/>
    </xf>
    <xf numFmtId="0" fontId="2" fillId="6" borderId="0" xfId="0" applyFont="1" applyFill="1" applyAlignment="1">
      <alignment horizontal="left" vertical="center"/>
    </xf>
    <xf numFmtId="165" fontId="2" fillId="0" borderId="0" xfId="0" applyNumberFormat="1" applyFont="1"/>
    <xf numFmtId="0" fontId="2" fillId="0" borderId="3" xfId="0" applyFont="1" applyBorder="1"/>
    <xf numFmtId="0" fontId="2" fillId="0" borderId="1" xfId="0" applyFont="1" applyBorder="1" applyAlignment="1">
      <alignment wrapText="1"/>
    </xf>
    <xf numFmtId="0" fontId="2" fillId="0" borderId="0" xfId="0" applyFont="1" applyAlignment="1">
      <alignment vertical="center" wrapText="1"/>
    </xf>
    <xf numFmtId="0" fontId="2" fillId="0" borderId="1" xfId="0" applyFont="1" applyBorder="1" applyAlignment="1">
      <alignment horizontal="left" vertical="center" wrapText="1"/>
    </xf>
    <xf numFmtId="1" fontId="2" fillId="4" borderId="1" xfId="3" applyNumberFormat="1" applyFont="1" applyFill="1" applyBorder="1" applyAlignment="1">
      <alignment horizontal="center" vertical="center"/>
    </xf>
    <xf numFmtId="2" fontId="2" fillId="4" borderId="1" xfId="3" applyNumberFormat="1" applyFont="1" applyFill="1" applyBorder="1" applyAlignment="1">
      <alignment horizontal="center" vertical="center"/>
    </xf>
    <xf numFmtId="1" fontId="2" fillId="9" borderId="1"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9" fontId="2" fillId="0" borderId="0" xfId="0" applyNumberFormat="1" applyFont="1" applyAlignment="1">
      <alignment horizontal="center" vertical="center" wrapText="1"/>
    </xf>
    <xf numFmtId="167" fontId="2" fillId="9" borderId="1" xfId="3" applyNumberFormat="1" applyFont="1" applyFill="1" applyBorder="1" applyAlignment="1">
      <alignment horizontal="center" vertical="center"/>
    </xf>
    <xf numFmtId="0" fontId="2" fillId="0" borderId="1" xfId="0" applyFont="1" applyBorder="1"/>
    <xf numFmtId="0" fontId="2" fillId="0" borderId="1" xfId="0" applyFont="1" applyBorder="1" applyAlignment="1">
      <alignment vertical="center" wrapText="1"/>
    </xf>
    <xf numFmtId="167" fontId="2" fillId="0" borderId="1" xfId="0" quotePrefix="1" applyNumberFormat="1" applyFont="1" applyBorder="1" applyAlignment="1">
      <alignment horizontal="center" vertical="center"/>
    </xf>
    <xf numFmtId="9" fontId="2" fillId="0" borderId="1" xfId="0" quotePrefix="1" applyNumberFormat="1" applyFont="1" applyBorder="1" applyAlignment="1">
      <alignment horizontal="center" vertical="center"/>
    </xf>
    <xf numFmtId="1" fontId="2" fillId="9" borderId="1" xfId="3" applyNumberFormat="1" applyFont="1" applyFill="1" applyBorder="1" applyAlignment="1">
      <alignment horizontal="center" vertical="center"/>
    </xf>
    <xf numFmtId="1" fontId="2" fillId="0" borderId="4" xfId="0" applyNumberFormat="1" applyFont="1" applyBorder="1" applyAlignment="1">
      <alignment horizontal="center" vertical="center"/>
    </xf>
    <xf numFmtId="1" fontId="2" fillId="0" borderId="1" xfId="3" applyNumberFormat="1" applyFont="1" applyFill="1" applyBorder="1" applyAlignment="1">
      <alignment horizontal="center" vertical="center"/>
    </xf>
    <xf numFmtId="1" fontId="2" fillId="0" borderId="0" xfId="0" applyNumberFormat="1" applyFont="1" applyAlignment="1">
      <alignment horizontal="center" vertical="center"/>
    </xf>
    <xf numFmtId="1" fontId="2" fillId="9" borderId="1" xfId="0" applyNumberFormat="1" applyFont="1" applyFill="1" applyBorder="1" applyAlignment="1">
      <alignment horizontal="right" vertical="center"/>
    </xf>
    <xf numFmtId="0" fontId="2" fillId="0" borderId="0" xfId="0" applyFont="1" applyAlignment="1">
      <alignment horizontal="left"/>
    </xf>
    <xf numFmtId="0" fontId="2" fillId="4" borderId="1" xfId="0" applyFont="1" applyFill="1" applyBorder="1" applyAlignment="1">
      <alignment horizontal="right"/>
    </xf>
    <xf numFmtId="0" fontId="2" fillId="0" borderId="3" xfId="0" applyFont="1" applyBorder="1" applyAlignment="1">
      <alignment horizontal="left"/>
    </xf>
    <xf numFmtId="0" fontId="2" fillId="0" borderId="0" xfId="0" applyFont="1"/>
    <xf numFmtId="9" fontId="2" fillId="0" borderId="22" xfId="3" applyFont="1" applyFill="1" applyBorder="1" applyAlignment="1">
      <alignment horizontal="right" vertical="center"/>
    </xf>
    <xf numFmtId="9" fontId="2" fillId="0" borderId="0" xfId="3" applyFont="1" applyFill="1" applyBorder="1" applyAlignment="1">
      <alignment horizontal="right" vertical="center"/>
    </xf>
    <xf numFmtId="9" fontId="2" fillId="4" borderId="22" xfId="3" applyFont="1" applyFill="1" applyBorder="1" applyAlignment="1">
      <alignment horizontal="right" vertical="center"/>
    </xf>
    <xf numFmtId="9" fontId="2" fillId="9" borderId="22" xfId="3" applyFont="1" applyFill="1" applyBorder="1" applyAlignment="1">
      <alignment horizontal="right" vertical="center"/>
    </xf>
    <xf numFmtId="0" fontId="2" fillId="6" borderId="1" xfId="0" applyFont="1" applyFill="1" applyBorder="1" applyAlignment="1">
      <alignment vertical="center"/>
    </xf>
    <xf numFmtId="168" fontId="2" fillId="4" borderId="1" xfId="0" applyNumberFormat="1" applyFont="1" applyFill="1" applyBorder="1" applyAlignment="1">
      <alignment horizontal="right" vertical="center" wrapText="1"/>
    </xf>
    <xf numFmtId="0" fontId="2" fillId="6" borderId="1" xfId="0" applyFont="1" applyFill="1" applyBorder="1" applyAlignment="1">
      <alignment horizontal="left" vertical="center"/>
    </xf>
    <xf numFmtId="3" fontId="2" fillId="4" borderId="1" xfId="0" applyNumberFormat="1" applyFont="1" applyFill="1" applyBorder="1" applyAlignment="1">
      <alignment horizontal="right" vertical="center" wrapText="1"/>
    </xf>
    <xf numFmtId="0" fontId="2" fillId="4" borderId="1" xfId="0" applyFont="1" applyFill="1" applyBorder="1" applyAlignment="1">
      <alignment horizontal="right" vertical="center"/>
    </xf>
    <xf numFmtId="0" fontId="2" fillId="6" borderId="1" xfId="0" applyFont="1" applyFill="1" applyBorder="1" applyAlignment="1">
      <alignment horizontal="left"/>
    </xf>
    <xf numFmtId="3" fontId="2" fillId="4" borderId="1" xfId="0" applyNumberFormat="1" applyFont="1" applyFill="1" applyBorder="1" applyAlignment="1">
      <alignment horizontal="right" vertical="center"/>
    </xf>
    <xf numFmtId="4" fontId="2" fillId="0" borderId="0" xfId="0" applyNumberFormat="1" applyFont="1" applyAlignment="1">
      <alignment horizontal="right" vertical="center" wrapText="1"/>
    </xf>
    <xf numFmtId="0" fontId="2" fillId="0" borderId="1" xfId="0" applyFont="1" applyBorder="1" applyAlignment="1">
      <alignment horizontal="left" vertical="center"/>
    </xf>
    <xf numFmtId="175" fontId="2" fillId="0" borderId="1" xfId="1" applyNumberFormat="1" applyFont="1" applyFill="1" applyBorder="1" applyAlignment="1">
      <alignment horizontal="right" vertical="center"/>
    </xf>
    <xf numFmtId="175" fontId="2" fillId="0" borderId="2" xfId="1" applyNumberFormat="1" applyFont="1" applyFill="1" applyBorder="1" applyAlignment="1">
      <alignment horizontal="right" vertical="center"/>
    </xf>
    <xf numFmtId="175" fontId="2" fillId="4" borderId="27" xfId="1" applyNumberFormat="1" applyFont="1" applyFill="1" applyBorder="1" applyAlignment="1">
      <alignment horizontal="right" vertical="center"/>
    </xf>
    <xf numFmtId="175" fontId="2" fillId="4" borderId="29" xfId="1" applyNumberFormat="1" applyFont="1" applyFill="1" applyBorder="1" applyAlignment="1">
      <alignment horizontal="right" vertical="center"/>
    </xf>
    <xf numFmtId="175" fontId="2" fillId="4" borderId="28" xfId="1" applyNumberFormat="1" applyFont="1" applyFill="1" applyBorder="1" applyAlignment="1">
      <alignment horizontal="right" vertical="center"/>
    </xf>
    <xf numFmtId="0" fontId="2" fillId="6" borderId="1" xfId="0" applyFont="1" applyFill="1" applyBorder="1" applyAlignment="1">
      <alignment horizontal="left" vertical="center" wrapText="1"/>
    </xf>
    <xf numFmtId="175" fontId="2" fillId="4" borderId="1" xfId="1" applyNumberFormat="1" applyFont="1" applyFill="1" applyBorder="1" applyAlignment="1">
      <alignment horizontal="right" vertical="center"/>
    </xf>
    <xf numFmtId="175" fontId="2" fillId="4" borderId="30" xfId="1" applyNumberFormat="1" applyFont="1" applyFill="1" applyBorder="1" applyAlignment="1">
      <alignment horizontal="right" vertical="center"/>
    </xf>
    <xf numFmtId="0" fontId="2" fillId="0" borderId="8" xfId="0" applyFont="1" applyBorder="1"/>
    <xf numFmtId="9" fontId="2" fillId="4" borderId="1" xfId="0" applyNumberFormat="1" applyFont="1" applyFill="1" applyBorder="1" applyAlignment="1">
      <alignment horizontal="right"/>
    </xf>
    <xf numFmtId="9" fontId="2" fillId="9" borderId="1" xfId="0" applyNumberFormat="1" applyFont="1" applyFill="1" applyBorder="1" applyAlignment="1">
      <alignment horizontal="right"/>
    </xf>
    <xf numFmtId="168" fontId="2" fillId="0" borderId="1" xfId="0" applyNumberFormat="1" applyFont="1" applyBorder="1" applyAlignment="1">
      <alignment horizontal="right"/>
    </xf>
    <xf numFmtId="168" fontId="2" fillId="9" borderId="1" xfId="0" applyNumberFormat="1" applyFont="1" applyFill="1" applyBorder="1" applyAlignment="1">
      <alignment horizontal="right"/>
    </xf>
    <xf numFmtId="176" fontId="2" fillId="0" borderId="1" xfId="1" applyNumberFormat="1" applyFont="1" applyBorder="1"/>
    <xf numFmtId="1" fontId="2" fillId="6" borderId="1" xfId="0" applyNumberFormat="1" applyFont="1" applyFill="1" applyBorder="1"/>
    <xf numFmtId="0" fontId="2" fillId="8" borderId="1" xfId="0" applyFont="1" applyFill="1" applyBorder="1" applyAlignment="1">
      <alignment wrapText="1"/>
    </xf>
    <xf numFmtId="1" fontId="2" fillId="2" borderId="1" xfId="0" applyNumberFormat="1" applyFont="1" applyFill="1" applyBorder="1"/>
    <xf numFmtId="0" fontId="2" fillId="8" borderId="1" xfId="0" applyFont="1" applyFill="1" applyBorder="1"/>
    <xf numFmtId="3" fontId="2" fillId="0" borderId="1" xfId="0" applyNumberFormat="1" applyFont="1" applyBorder="1" applyAlignment="1">
      <alignment horizontal="right"/>
    </xf>
    <xf numFmtId="3" fontId="2" fillId="9" borderId="1" xfId="0" applyNumberFormat="1" applyFont="1" applyFill="1" applyBorder="1" applyAlignment="1">
      <alignment horizontal="right"/>
    </xf>
    <xf numFmtId="1" fontId="2" fillId="0" borderId="1" xfId="1" applyNumberFormat="1" applyFont="1" applyBorder="1"/>
    <xf numFmtId="0" fontId="2" fillId="0" borderId="4" xfId="0" applyFont="1" applyBorder="1"/>
    <xf numFmtId="3" fontId="2" fillId="2" borderId="1" xfId="0" applyNumberFormat="1" applyFont="1" applyFill="1" applyBorder="1"/>
    <xf numFmtId="0" fontId="2" fillId="6" borderId="1" xfId="0" applyFont="1" applyFill="1" applyBorder="1" applyAlignment="1">
      <alignment wrapText="1"/>
    </xf>
    <xf numFmtId="1" fontId="2" fillId="4" borderId="1" xfId="0" applyNumberFormat="1" applyFont="1" applyFill="1" applyBorder="1"/>
    <xf numFmtId="9" fontId="2" fillId="4" borderId="1" xfId="1" applyNumberFormat="1" applyFont="1" applyFill="1" applyBorder="1" applyAlignment="1">
      <alignment horizontal="right"/>
    </xf>
    <xf numFmtId="9" fontId="2" fillId="9" borderId="1" xfId="1" applyNumberFormat="1" applyFont="1" applyFill="1" applyBorder="1" applyAlignment="1">
      <alignment horizontal="right"/>
    </xf>
    <xf numFmtId="0" fontId="2" fillId="0" borderId="1" xfId="0" applyFont="1" applyBorder="1" applyAlignment="1">
      <alignment horizontal="left" wrapText="1"/>
    </xf>
    <xf numFmtId="9" fontId="2" fillId="9" borderId="1" xfId="0" applyNumberFormat="1" applyFont="1" applyFill="1" applyBorder="1"/>
    <xf numFmtId="2" fontId="2" fillId="9" borderId="1" xfId="0" applyNumberFormat="1" applyFont="1" applyFill="1" applyBorder="1"/>
    <xf numFmtId="2" fontId="2" fillId="9" borderId="1" xfId="0" applyNumberFormat="1" applyFont="1" applyFill="1" applyBorder="1" applyAlignment="1">
      <alignment horizontal="right"/>
    </xf>
    <xf numFmtId="1" fontId="2" fillId="6" borderId="1" xfId="1" applyNumberFormat="1" applyFont="1" applyFill="1" applyBorder="1"/>
    <xf numFmtId="176" fontId="2" fillId="6" borderId="1" xfId="1" applyNumberFormat="1" applyFont="1" applyFill="1" applyBorder="1"/>
    <xf numFmtId="0" fontId="2" fillId="6" borderId="1" xfId="0" applyFont="1" applyFill="1" applyBorder="1"/>
    <xf numFmtId="1" fontId="2" fillId="9" borderId="1" xfId="0" applyNumberFormat="1" applyFont="1" applyFill="1" applyBorder="1"/>
    <xf numFmtId="177" fontId="2" fillId="2" borderId="1" xfId="0" applyNumberFormat="1" applyFont="1" applyFill="1" applyBorder="1" applyAlignment="1">
      <alignment horizontal="right"/>
    </xf>
    <xf numFmtId="0" fontId="2" fillId="0" borderId="1" xfId="0" applyFont="1" applyBorder="1" applyAlignment="1">
      <alignment horizontal="left"/>
    </xf>
    <xf numFmtId="169" fontId="2" fillId="0" borderId="3" xfId="0" applyNumberFormat="1" applyFont="1" applyBorder="1"/>
    <xf numFmtId="9" fontId="2" fillId="0" borderId="3" xfId="0" applyNumberFormat="1" applyFont="1" applyBorder="1"/>
    <xf numFmtId="167" fontId="2" fillId="0" borderId="0" xfId="0" applyNumberFormat="1" applyFont="1"/>
    <xf numFmtId="9" fontId="2" fillId="0" borderId="4" xfId="0" applyNumberFormat="1" applyFont="1" applyBorder="1"/>
    <xf numFmtId="167" fontId="2" fillId="9" borderId="0" xfId="0" applyNumberFormat="1" applyFont="1" applyFill="1"/>
    <xf numFmtId="169" fontId="2" fillId="0" borderId="4" xfId="0" applyNumberFormat="1" applyFont="1" applyBorder="1"/>
    <xf numFmtId="169" fontId="2" fillId="6" borderId="0" xfId="0" applyNumberFormat="1" applyFont="1" applyFill="1"/>
    <xf numFmtId="0" fontId="29" fillId="4" borderId="0" xfId="0" applyFont="1" applyFill="1"/>
    <xf numFmtId="0" fontId="0" fillId="4" borderId="6" xfId="0" applyFill="1" applyBorder="1"/>
    <xf numFmtId="0" fontId="0" fillId="4" borderId="7" xfId="0" applyFill="1" applyBorder="1"/>
    <xf numFmtId="0" fontId="38" fillId="0" borderId="0" xfId="0" applyFont="1"/>
    <xf numFmtId="0" fontId="9" fillId="5" borderId="1" xfId="0" applyFont="1" applyFill="1" applyBorder="1" applyAlignment="1">
      <alignment horizontal="center"/>
    </xf>
    <xf numFmtId="0" fontId="9" fillId="5" borderId="2" xfId="0" applyFont="1" applyFill="1" applyBorder="1" applyAlignment="1">
      <alignment horizontal="center"/>
    </xf>
    <xf numFmtId="9" fontId="8" fillId="4" borderId="1" xfId="0" applyNumberFormat="1" applyFont="1" applyFill="1" applyBorder="1" applyAlignment="1">
      <alignment horizontal="right"/>
    </xf>
    <xf numFmtId="0" fontId="2" fillId="0" borderId="28" xfId="0" applyFont="1" applyBorder="1"/>
    <xf numFmtId="9" fontId="8" fillId="9" borderId="1" xfId="0" applyNumberFormat="1" applyFont="1" applyFill="1" applyBorder="1" applyAlignment="1">
      <alignment horizontal="right"/>
    </xf>
    <xf numFmtId="9" fontId="2" fillId="9" borderId="1" xfId="3" applyFont="1" applyFill="1" applyBorder="1" applyAlignment="1">
      <alignment horizontal="right" vertical="center"/>
    </xf>
    <xf numFmtId="167" fontId="36" fillId="6" borderId="1" xfId="0" applyNumberFormat="1" applyFont="1" applyFill="1" applyBorder="1" applyAlignment="1">
      <alignment vertical="center" wrapText="1"/>
    </xf>
    <xf numFmtId="0" fontId="25" fillId="0" borderId="0" xfId="0" applyFont="1" applyAlignment="1">
      <alignment horizontal="left" vertical="center"/>
    </xf>
    <xf numFmtId="0" fontId="0" fillId="0" borderId="6" xfId="0" applyBorder="1"/>
    <xf numFmtId="0" fontId="0" fillId="0" borderId="6" xfId="0" applyBorder="1" applyAlignment="1">
      <alignment wrapText="1"/>
    </xf>
    <xf numFmtId="0" fontId="2" fillId="0" borderId="27" xfId="0" applyFont="1" applyBorder="1" applyAlignment="1">
      <alignment wrapText="1"/>
    </xf>
    <xf numFmtId="9" fontId="2" fillId="4" borderId="28" xfId="0" applyNumberFormat="1" applyFont="1" applyFill="1" applyBorder="1" applyAlignment="1">
      <alignment horizontal="right"/>
    </xf>
    <xf numFmtId="0" fontId="36" fillId="5" borderId="2" xfId="0" applyFont="1" applyFill="1" applyBorder="1" applyAlignment="1">
      <alignment horizontal="center"/>
    </xf>
    <xf numFmtId="168" fontId="2" fillId="0" borderId="30" xfId="0" applyNumberFormat="1" applyFont="1" applyBorder="1" applyAlignment="1">
      <alignment horizontal="right"/>
    </xf>
    <xf numFmtId="9" fontId="2" fillId="4" borderId="29" xfId="0" applyNumberFormat="1" applyFont="1" applyFill="1" applyBorder="1" applyAlignment="1">
      <alignment horizontal="right"/>
    </xf>
    <xf numFmtId="0" fontId="29" fillId="3" borderId="32" xfId="0" applyFont="1" applyFill="1" applyBorder="1" applyAlignment="1">
      <alignment horizontal="left" vertical="center"/>
    </xf>
    <xf numFmtId="0" fontId="29" fillId="3" borderId="33" xfId="0" applyFont="1" applyFill="1" applyBorder="1" applyAlignment="1">
      <alignment horizontal="left" vertical="center"/>
    </xf>
    <xf numFmtId="0" fontId="0" fillId="6" borderId="16" xfId="0" applyFill="1" applyBorder="1" applyAlignment="1">
      <alignment horizontal="left"/>
    </xf>
    <xf numFmtId="0" fontId="0" fillId="6" borderId="4" xfId="0" applyFill="1" applyBorder="1" applyAlignment="1">
      <alignment horizontal="left"/>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0" borderId="2" xfId="0" applyFont="1" applyBorder="1" applyAlignment="1">
      <alignment horizontal="center" wrapText="1"/>
    </xf>
    <xf numFmtId="0" fontId="2" fillId="0" borderId="34" xfId="0" applyFont="1" applyBorder="1" applyAlignment="1">
      <alignment horizontal="center" wrapText="1"/>
    </xf>
    <xf numFmtId="0" fontId="2" fillId="0" borderId="30" xfId="0" applyFont="1" applyBorder="1" applyAlignment="1">
      <alignment horizontal="center" wrapText="1"/>
    </xf>
    <xf numFmtId="0" fontId="2" fillId="0" borderId="0" xfId="0" applyFont="1" applyAlignment="1">
      <alignment horizontal="left" vertical="center" wrapText="1"/>
    </xf>
    <xf numFmtId="0" fontId="44" fillId="6" borderId="0" xfId="4" applyFont="1" applyFill="1" applyBorder="1" applyAlignment="1">
      <alignment horizontal="center" vertical="center"/>
    </xf>
    <xf numFmtId="0" fontId="8" fillId="4" borderId="0" xfId="4" applyFont="1" applyFill="1" applyBorder="1" applyAlignment="1">
      <alignment horizontal="center" vertical="center"/>
    </xf>
    <xf numFmtId="167" fontId="2" fillId="9" borderId="0" xfId="0" quotePrefix="1" applyNumberFormat="1" applyFont="1" applyFill="1" applyAlignment="1">
      <alignment horizontal="center" vertical="center"/>
    </xf>
    <xf numFmtId="0" fontId="2" fillId="0" borderId="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Alignment="1">
      <alignment horizontal="right" vertical="center" textRotation="90" wrapText="1"/>
    </xf>
    <xf numFmtId="0" fontId="36" fillId="2" borderId="27" xfId="0" applyFont="1" applyFill="1" applyBorder="1" applyAlignment="1">
      <alignment horizontal="left"/>
    </xf>
    <xf numFmtId="0" fontId="36" fillId="2" borderId="28" xfId="0" applyFont="1" applyFill="1" applyBorder="1" applyAlignment="1">
      <alignment horizontal="left"/>
    </xf>
    <xf numFmtId="0" fontId="2" fillId="6" borderId="0" xfId="0" applyFont="1" applyFill="1" applyAlignment="1">
      <alignment horizontal="center"/>
    </xf>
    <xf numFmtId="0" fontId="2" fillId="6" borderId="0" xfId="0" applyFont="1" applyFill="1" applyAlignment="1">
      <alignment horizontal="right" vertical="center" textRotation="90" wrapText="1"/>
    </xf>
    <xf numFmtId="0" fontId="36" fillId="2" borderId="1" xfId="0" applyFont="1" applyFill="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8" fillId="0" borderId="2" xfId="0" applyFont="1" applyBorder="1" applyAlignment="1">
      <alignment horizontal="center" vertical="center"/>
    </xf>
    <xf numFmtId="0" fontId="48" fillId="0" borderId="34" xfId="0" applyFont="1" applyBorder="1" applyAlignment="1">
      <alignment horizontal="center" vertical="center"/>
    </xf>
    <xf numFmtId="0" fontId="48" fillId="0" borderId="30" xfId="0" applyFont="1" applyBorder="1" applyAlignment="1">
      <alignment horizontal="center" vertical="center"/>
    </xf>
    <xf numFmtId="0" fontId="48" fillId="0" borderId="2" xfId="0" applyFont="1" applyBorder="1" applyAlignment="1">
      <alignment horizontal="center" vertical="center" wrapText="1"/>
    </xf>
    <xf numFmtId="0" fontId="48" fillId="0" borderId="34" xfId="0" applyFont="1" applyBorder="1" applyAlignment="1">
      <alignment horizontal="center" vertical="center" wrapText="1"/>
    </xf>
    <xf numFmtId="0" fontId="48" fillId="0" borderId="30" xfId="0" applyFont="1" applyBorder="1" applyAlignment="1">
      <alignment horizontal="center" vertical="center" wrapText="1"/>
    </xf>
    <xf numFmtId="0" fontId="49" fillId="4" borderId="0" xfId="4" applyFont="1" applyFill="1" applyBorder="1" applyAlignment="1">
      <alignment horizontal="center" vertical="center"/>
    </xf>
    <xf numFmtId="167" fontId="40" fillId="9" borderId="0" xfId="0" quotePrefix="1" applyNumberFormat="1" applyFont="1" applyFill="1" applyAlignment="1">
      <alignment horizontal="center" vertical="center"/>
    </xf>
    <xf numFmtId="0" fontId="2" fillId="0" borderId="0" xfId="0" applyFont="1" applyAlignment="1">
      <alignment horizontal="center"/>
    </xf>
    <xf numFmtId="0" fontId="2" fillId="0" borderId="0" xfId="0" applyFont="1" applyAlignment="1">
      <alignment horizontal="left" vertical="top" wrapText="1"/>
    </xf>
    <xf numFmtId="0" fontId="2" fillId="9" borderId="3" xfId="0" applyFont="1" applyFill="1" applyBorder="1" applyAlignment="1">
      <alignment horizontal="center" vertical="center" wrapText="1"/>
    </xf>
  </cellXfs>
  <cellStyles count="6">
    <cellStyle name="Eingabe" xfId="4" builtinId="20"/>
    <cellStyle name="Komma" xfId="1" builtinId="3"/>
    <cellStyle name="Link" xfId="2" builtinId="8"/>
    <cellStyle name="Normal 3" xfId="5" xr:uid="{791409E8-066B-4291-8126-D4874143ECBF}"/>
    <cellStyle name="Prozent" xfId="3" builtinId="5"/>
    <cellStyle name="Standard" xfId="0" builtinId="0"/>
  </cellStyles>
  <dxfs count="21">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DCA591"/>
      <color rgb="FFF0D7AA"/>
      <color rgb="FFCDD2B4"/>
      <color rgb="FF8CA0C3"/>
      <color rgb="FFBED2E1"/>
      <color rgb="FFC8A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7410342539731522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E39C-4090-B0CF-7A6C6A50EB27}"/>
              </c:ext>
            </c:extLst>
          </c:dPt>
          <c:dPt>
            <c:idx val="1"/>
            <c:invertIfNegative val="0"/>
            <c:bubble3D val="0"/>
            <c:spPr>
              <a:solidFill>
                <a:srgbClr val="CDD2B4"/>
              </a:solidFill>
              <a:ln>
                <a:noFill/>
              </a:ln>
              <a:effectLst/>
            </c:spPr>
            <c:extLst>
              <c:ext xmlns:c16="http://schemas.microsoft.com/office/drawing/2014/chart" uri="{C3380CC4-5D6E-409C-BE32-E72D297353CC}">
                <c16:uniqueId val="{00000003-E39C-4090-B0CF-7A6C6A50EB27}"/>
              </c:ext>
            </c:extLst>
          </c:dPt>
          <c:dPt>
            <c:idx val="2"/>
            <c:invertIfNegative val="0"/>
            <c:bubble3D val="0"/>
            <c:spPr>
              <a:solidFill>
                <a:srgbClr val="DCA591"/>
              </a:solidFill>
              <a:ln>
                <a:noFill/>
              </a:ln>
              <a:effectLst/>
            </c:spPr>
            <c:extLst>
              <c:ext xmlns:c16="http://schemas.microsoft.com/office/drawing/2014/chart" uri="{C3380CC4-5D6E-409C-BE32-E72D297353CC}">
                <c16:uniqueId val="{00000005-E39C-4090-B0CF-7A6C6A50EB27}"/>
              </c:ext>
            </c:extLst>
          </c:dPt>
          <c:dPt>
            <c:idx val="3"/>
            <c:invertIfNegative val="0"/>
            <c:bubble3D val="0"/>
            <c:spPr>
              <a:solidFill>
                <a:srgbClr val="CDD2B4"/>
              </a:solidFill>
              <a:ln>
                <a:noFill/>
              </a:ln>
              <a:effectLst/>
            </c:spPr>
            <c:extLst>
              <c:ext xmlns:c16="http://schemas.microsoft.com/office/drawing/2014/chart" uri="{C3380CC4-5D6E-409C-BE32-E72D297353CC}">
                <c16:uniqueId val="{00000007-E39C-4090-B0CF-7A6C6A50EB27}"/>
              </c:ext>
            </c:extLst>
          </c:dPt>
          <c:dPt>
            <c:idx val="4"/>
            <c:invertIfNegative val="0"/>
            <c:bubble3D val="0"/>
            <c:spPr>
              <a:solidFill>
                <a:srgbClr val="8CA0C3"/>
              </a:solidFill>
              <a:ln>
                <a:noFill/>
              </a:ln>
              <a:effectLst/>
            </c:spPr>
            <c:extLst>
              <c:ext xmlns:c16="http://schemas.microsoft.com/office/drawing/2014/chart" uri="{C3380CC4-5D6E-409C-BE32-E72D297353CC}">
                <c16:uniqueId val="{00000009-E39C-4090-B0CF-7A6C6A50EB27}"/>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Summary!$B$66:$C$70</c:f>
              <c:multiLvlStrCache>
                <c:ptCount val="5"/>
                <c:lvl>
                  <c:pt idx="0">
                    <c:v>Present Value (in 2021 EUR)</c:v>
                  </c:pt>
                  <c:pt idx="1">
                    <c:v>Present Value (in 2021 EUR)</c:v>
                  </c:pt>
                  <c:pt idx="2">
                    <c:v>Project Costs discounted (in 2021 EUR)</c:v>
                  </c:pt>
                  <c:pt idx="3">
                    <c:v>Present Value (in 2021 EUR)</c:v>
                  </c:pt>
                  <c:pt idx="4">
                    <c:v>Net Present Value (in 2021 EUR)</c:v>
                  </c:pt>
                </c:lvl>
                <c:lvl>
                  <c:pt idx="0">
                    <c:v>C2022</c:v>
                  </c:pt>
                  <c:pt idx="1">
                    <c:v>C2023</c:v>
                  </c:pt>
                  <c:pt idx="2">
                    <c:v>Combined</c:v>
                  </c:pt>
                </c:lvl>
              </c:multiLvlStrCache>
            </c:multiLvlStrRef>
          </c:cat>
          <c:val>
            <c:numRef>
              <c:f>Summary!$D$66:$D$70</c:f>
              <c:numCache>
                <c:formatCode>#,##0\ "€"</c:formatCode>
                <c:ptCount val="5"/>
                <c:pt idx="0">
                  <c:v>5892474.8705741372</c:v>
                </c:pt>
                <c:pt idx="1">
                  <c:v>9173346.2952965517</c:v>
                </c:pt>
                <c:pt idx="2">
                  <c:v>2733394.2235205881</c:v>
                </c:pt>
                <c:pt idx="3">
                  <c:v>15065821.165870689</c:v>
                </c:pt>
                <c:pt idx="4">
                  <c:v>12332426.942350101</c:v>
                </c:pt>
              </c:numCache>
            </c:numRef>
          </c:val>
          <c:extLst>
            <c:ext xmlns:c16="http://schemas.microsoft.com/office/drawing/2014/chart" uri="{C3380CC4-5D6E-409C-BE32-E72D297353CC}">
              <c16:uniqueId val="{00000012-E39C-4090-B0CF-7A6C6A50EB27}"/>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05FC-4629-8C3E-6795B99D24D8}"/>
              </c:ext>
            </c:extLst>
          </c:dPt>
          <c:dPt>
            <c:idx val="1"/>
            <c:invertIfNegative val="0"/>
            <c:bubble3D val="0"/>
            <c:spPr>
              <a:solidFill>
                <a:srgbClr val="CDD2B4"/>
              </a:solidFill>
              <a:ln>
                <a:noFill/>
              </a:ln>
              <a:effectLst/>
            </c:spPr>
            <c:extLst>
              <c:ext xmlns:c16="http://schemas.microsoft.com/office/drawing/2014/chart" uri="{C3380CC4-5D6E-409C-BE32-E72D297353CC}">
                <c16:uniqueId val="{00000003-05FC-4629-8C3E-6795B99D24D8}"/>
              </c:ext>
            </c:extLst>
          </c:dPt>
          <c:dPt>
            <c:idx val="2"/>
            <c:invertIfNegative val="0"/>
            <c:bubble3D val="0"/>
            <c:spPr>
              <a:solidFill>
                <a:srgbClr val="CDD2B4"/>
              </a:solidFill>
              <a:ln>
                <a:noFill/>
              </a:ln>
              <a:effectLst/>
            </c:spPr>
            <c:extLst>
              <c:ext xmlns:c16="http://schemas.microsoft.com/office/drawing/2014/chart" uri="{C3380CC4-5D6E-409C-BE32-E72D297353CC}">
                <c16:uniqueId val="{00000005-05FC-4629-8C3E-6795B99D24D8}"/>
              </c:ext>
            </c:extLst>
          </c:dPt>
          <c:dPt>
            <c:idx val="3"/>
            <c:invertIfNegative val="0"/>
            <c:bubble3D val="0"/>
            <c:spPr>
              <a:solidFill>
                <a:srgbClr val="DCA591"/>
              </a:solidFill>
              <a:ln>
                <a:noFill/>
              </a:ln>
              <a:effectLst/>
            </c:spPr>
            <c:extLst>
              <c:ext xmlns:c16="http://schemas.microsoft.com/office/drawing/2014/chart" uri="{C3380CC4-5D6E-409C-BE32-E72D297353CC}">
                <c16:uniqueId val="{00000007-05FC-4629-8C3E-6795B99D24D8}"/>
              </c:ext>
            </c:extLst>
          </c:dPt>
          <c:dPt>
            <c:idx val="4"/>
            <c:invertIfNegative val="0"/>
            <c:bubble3D val="0"/>
            <c:spPr>
              <a:solidFill>
                <a:srgbClr val="8CA0C3"/>
              </a:solidFill>
              <a:ln>
                <a:noFill/>
              </a:ln>
              <a:effectLst/>
            </c:spPr>
            <c:extLst>
              <c:ext xmlns:c16="http://schemas.microsoft.com/office/drawing/2014/chart" uri="{C3380CC4-5D6E-409C-BE32-E72D297353CC}">
                <c16:uniqueId val="{00000008-C770-46F0-9E09-C63B48971736}"/>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Summary!$B$48:$B$52</c:f>
              <c:strCache>
                <c:ptCount val="5"/>
                <c:pt idx="0">
                  <c:v>PV per HH C22</c:v>
                </c:pt>
                <c:pt idx="1">
                  <c:v>PV per HH C23 (forecast)</c:v>
                </c:pt>
                <c:pt idx="2">
                  <c:v>PV per HH combined</c:v>
                </c:pt>
                <c:pt idx="3">
                  <c:v>Costs per HH</c:v>
                </c:pt>
                <c:pt idx="4">
                  <c:v>NPV per HH</c:v>
                </c:pt>
              </c:strCache>
            </c:strRef>
          </c:cat>
          <c:val>
            <c:numRef>
              <c:f>Summary!$C$48:$C$52</c:f>
              <c:numCache>
                <c:formatCode>_-* #,##0\ [$€-407]_-;\-* #,##0\ [$€-407]_-;_-* "-"\ [$€-407]_-;_-@_-</c:formatCode>
                <c:ptCount val="5"/>
                <c:pt idx="0">
                  <c:v>706.87078581743481</c:v>
                </c:pt>
                <c:pt idx="1">
                  <c:v>557.07453059431293</c:v>
                </c:pt>
                <c:pt idx="2">
                  <c:v>607.41931080396273</c:v>
                </c:pt>
                <c:pt idx="3">
                  <c:v>110.20417786237907</c:v>
                </c:pt>
                <c:pt idx="4">
                  <c:v>497.21513294158365</c:v>
                </c:pt>
              </c:numCache>
            </c:numRef>
          </c:val>
          <c:extLst>
            <c:ext xmlns:c16="http://schemas.microsoft.com/office/drawing/2014/chart" uri="{C3380CC4-5D6E-409C-BE32-E72D297353CC}">
              <c16:uniqueId val="{00000008-05FC-4629-8C3E-6795B99D24D8}"/>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ExtraBold" panose="020F0804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Share of Project Component in</a:t>
            </a:r>
          </a:p>
          <a:p>
            <a:pPr>
              <a:defRPr>
                <a:latin typeface="Pero ExtraBold" panose="020F0804020203030304" pitchFamily="34" charset="0"/>
              </a:defRPr>
            </a:pPr>
            <a:r>
              <a:rPr lang="en-US" sz="1400" b="1" i="0" u="none" strike="noStrike" kern="1200" spc="0" baseline="0">
                <a:solidFill>
                  <a:sysClr val="windowText" lastClr="000000"/>
                </a:solidFill>
                <a:latin typeface="Pero" panose="020F0506020203030304" pitchFamily="34" charset="0"/>
              </a:rPr>
              <a:t>Total Present Value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ExtraBold" panose="020F0804020203030304" pitchFamily="34" charset="0"/>
              <a:ea typeface="+mn-ea"/>
              <a:cs typeface="+mn-cs"/>
            </a:defRPr>
          </a:pPr>
          <a:endParaRPr lang="en-US"/>
        </a:p>
      </c:txPr>
    </c:title>
    <c:autoTitleDeleted val="0"/>
    <c:plotArea>
      <c:layout/>
      <c:barChart>
        <c:barDir val="col"/>
        <c:grouping val="stacked"/>
        <c:varyColors val="0"/>
        <c:ser>
          <c:idx val="0"/>
          <c:order val="0"/>
          <c:tx>
            <c:strRef>
              <c:f>Summary!$E$47</c:f>
              <c:strCache>
                <c:ptCount val="1"/>
                <c:pt idx="0">
                  <c:v>GAPs besides Stumping</c:v>
                </c:pt>
              </c:strCache>
            </c:strRef>
          </c:tx>
          <c:spPr>
            <a:solidFill>
              <a:srgbClr val="CDD2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Summary!$F$47:$G$47</c:f>
              <c:numCache>
                <c:formatCode>#,##0\ [$€-407];\-#,##0\ [$€-407]</c:formatCode>
                <c:ptCount val="2"/>
                <c:pt idx="0">
                  <c:v>57.452779625376351</c:v>
                </c:pt>
                <c:pt idx="1">
                  <c:v>83.876694620106022</c:v>
                </c:pt>
              </c:numCache>
            </c:numRef>
          </c:val>
          <c:extLst>
            <c:ext xmlns:c16="http://schemas.microsoft.com/office/drawing/2014/chart" uri="{C3380CC4-5D6E-409C-BE32-E72D297353CC}">
              <c16:uniqueId val="{00000000-43A2-40B2-AA8C-53FF8167CFD3}"/>
            </c:ext>
          </c:extLst>
        </c:ser>
        <c:ser>
          <c:idx val="1"/>
          <c:order val="1"/>
          <c:tx>
            <c:strRef>
              <c:f>Summary!$E$48</c:f>
              <c:strCache>
                <c:ptCount val="1"/>
                <c:pt idx="0">
                  <c:v>Stumping</c:v>
                </c:pt>
              </c:strCache>
            </c:strRef>
          </c:tx>
          <c:spPr>
            <a:solidFill>
              <a:srgbClr val="8CA0C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Summary!$F$48:$G$48</c:f>
              <c:numCache>
                <c:formatCode>#,##0\ [$€-407];\-#,##0\ [$€-407]</c:formatCode>
                <c:ptCount val="2"/>
                <c:pt idx="0">
                  <c:v>524.65395818684442</c:v>
                </c:pt>
                <c:pt idx="1">
                  <c:v>408.88769950285473</c:v>
                </c:pt>
              </c:numCache>
            </c:numRef>
          </c:val>
          <c:extLst>
            <c:ext xmlns:c16="http://schemas.microsoft.com/office/drawing/2014/chart" uri="{C3380CC4-5D6E-409C-BE32-E72D297353CC}">
              <c16:uniqueId val="{00000001-43A2-40B2-AA8C-53FF8167CFD3}"/>
            </c:ext>
          </c:extLst>
        </c:ser>
        <c:ser>
          <c:idx val="2"/>
          <c:order val="2"/>
          <c:tx>
            <c:strRef>
              <c:f>Summary!$E$49</c:f>
              <c:strCache>
                <c:ptCount val="1"/>
                <c:pt idx="0">
                  <c:v>Honey</c:v>
                </c:pt>
              </c:strCache>
            </c:strRef>
          </c:tx>
          <c:spPr>
            <a:solidFill>
              <a:srgbClr val="F0D7AA"/>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Summary!$F$49:$G$49</c:f>
              <c:numCache>
                <c:formatCode>#,##0\ [$€-407];\-#,##0\ [$€-407]</c:formatCode>
                <c:ptCount val="2"/>
                <c:pt idx="0">
                  <c:v>16.478189628733077</c:v>
                </c:pt>
                <c:pt idx="1">
                  <c:v>12.357137682819316</c:v>
                </c:pt>
              </c:numCache>
            </c:numRef>
          </c:val>
          <c:extLst>
            <c:ext xmlns:c16="http://schemas.microsoft.com/office/drawing/2014/chart" uri="{C3380CC4-5D6E-409C-BE32-E72D297353CC}">
              <c16:uniqueId val="{00000002-43A2-40B2-AA8C-53FF8167CFD3}"/>
            </c:ext>
          </c:extLst>
        </c:ser>
        <c:ser>
          <c:idx val="3"/>
          <c:order val="3"/>
          <c:tx>
            <c:strRef>
              <c:f>Summary!$E$50</c:f>
              <c:strCache>
                <c:ptCount val="1"/>
                <c:pt idx="0">
                  <c:v> Coffee Washing Stations </c:v>
                </c:pt>
              </c:strCache>
            </c:strRef>
          </c:tx>
          <c:spPr>
            <a:solidFill>
              <a:srgbClr val="DCA59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Summary!$F$46:$G$46</c:f>
              <c:strCache>
                <c:ptCount val="2"/>
                <c:pt idx="0">
                  <c:v>C22</c:v>
                </c:pt>
                <c:pt idx="1">
                  <c:v>C23</c:v>
                </c:pt>
              </c:strCache>
            </c:strRef>
          </c:cat>
          <c:val>
            <c:numRef>
              <c:f>Summary!$F$50:$G$50</c:f>
              <c:numCache>
                <c:formatCode>#,##0\ [$€-407];\-#,##0\ [$€-407]</c:formatCode>
                <c:ptCount val="2"/>
                <c:pt idx="0">
                  <c:v>108.28585837648107</c:v>
                </c:pt>
                <c:pt idx="1">
                  <c:v>51.952998788532881</c:v>
                </c:pt>
              </c:numCache>
            </c:numRef>
          </c:val>
          <c:extLst>
            <c:ext xmlns:c16="http://schemas.microsoft.com/office/drawing/2014/chart" uri="{C3380CC4-5D6E-409C-BE32-E72D297353CC}">
              <c16:uniqueId val="{00000003-43A2-40B2-AA8C-53FF8167CFD3}"/>
            </c:ext>
          </c:extLst>
        </c:ser>
        <c:dLbls>
          <c:showLegendKey val="0"/>
          <c:showVal val="0"/>
          <c:showCatName val="0"/>
          <c:showSerName val="0"/>
          <c:showPercent val="0"/>
          <c:showBubbleSize val="0"/>
        </c:dLbls>
        <c:gapWidth val="150"/>
        <c:overlap val="100"/>
        <c:axId val="392140992"/>
        <c:axId val="392146752"/>
      </c:barChart>
      <c:catAx>
        <c:axId val="392140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392146752"/>
        <c:crosses val="autoZero"/>
        <c:auto val="1"/>
        <c:lblAlgn val="ctr"/>
        <c:lblOffset val="100"/>
        <c:noMultiLvlLbl val="0"/>
      </c:catAx>
      <c:valAx>
        <c:axId val="392146752"/>
        <c:scaling>
          <c:orientation val="minMax"/>
        </c:scaling>
        <c:delete val="0"/>
        <c:axPos val="l"/>
        <c:majorGridlines>
          <c:spPr>
            <a:ln w="9525" cap="flat" cmpd="sng" algn="ctr">
              <a:solidFill>
                <a:schemeClr val="tx1">
                  <a:lumMod val="15000"/>
                  <a:lumOff val="85000"/>
                </a:schemeClr>
              </a:solidFill>
              <a:round/>
            </a:ln>
            <a:effectLst/>
          </c:spPr>
        </c:majorGridlines>
        <c:numFmt formatCode="#,##0\ [$€-407];\-#,##0\ [$€-407]"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392140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256398</xdr:colOff>
      <xdr:row>62</xdr:row>
      <xdr:rowOff>134534</xdr:rowOff>
    </xdr:from>
    <xdr:to>
      <xdr:col>10</xdr:col>
      <xdr:colOff>545868</xdr:colOff>
      <xdr:row>83</xdr:row>
      <xdr:rowOff>21338</xdr:rowOff>
    </xdr:to>
    <xdr:graphicFrame macro="">
      <xdr:nvGraphicFramePr>
        <xdr:cNvPr id="5" name="Chart 5">
          <a:extLst>
            <a:ext uri="{FF2B5EF4-FFF2-40B4-BE49-F238E27FC236}">
              <a16:creationId xmlns:a16="http://schemas.microsoft.com/office/drawing/2014/main" id="{CE578721-C3F1-4786-B0C7-65A7CFC4F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68253</xdr:colOff>
      <xdr:row>5</xdr:row>
      <xdr:rowOff>597</xdr:rowOff>
    </xdr:from>
    <xdr:to>
      <xdr:col>11</xdr:col>
      <xdr:colOff>257108</xdr:colOff>
      <xdr:row>16</xdr:row>
      <xdr:rowOff>372717</xdr:rowOff>
    </xdr:to>
    <xdr:sp macro="" textlink="">
      <xdr:nvSpPr>
        <xdr:cNvPr id="19" name="TextBox 2">
          <a:extLst>
            <a:ext uri="{FF2B5EF4-FFF2-40B4-BE49-F238E27FC236}">
              <a16:creationId xmlns:a16="http://schemas.microsoft.com/office/drawing/2014/main" id="{47FEFEDA-16AB-42B4-AE53-F0D40DD9ED1F}"/>
            </a:ext>
          </a:extLst>
        </xdr:cNvPr>
        <xdr:cNvSpPr txBox="1"/>
      </xdr:nvSpPr>
      <xdr:spPr>
        <a:xfrm>
          <a:off x="7655123" y="1135314"/>
          <a:ext cx="4810550" cy="2798925"/>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a:t>
          </a:r>
          <a:r>
            <a:rPr lang="en-US" sz="1000" b="1">
              <a:solidFill>
                <a:schemeClr val="dk1"/>
              </a:solidFill>
              <a:effectLst/>
              <a:latin typeface="Pero" panose="020F0506020203030304" pitchFamily="34" charset="0"/>
              <a:ea typeface="+mn-ea"/>
              <a:cs typeface="+mn-cs"/>
            </a:rPr>
            <a:t>compares the estimated total benefits of ca.</a:t>
          </a:r>
          <a:r>
            <a:rPr lang="en-US" sz="1000" b="1" baseline="0">
              <a:solidFill>
                <a:schemeClr val="dk1"/>
              </a:solidFill>
              <a:effectLst/>
              <a:latin typeface="Pero" panose="020F0506020203030304" pitchFamily="34" charset="0"/>
              <a:ea typeface="+mn-ea"/>
              <a:cs typeface="+mn-cs"/>
            </a:rPr>
            <a:t> 15,1 Mio</a:t>
          </a:r>
          <a:r>
            <a:rPr lang="en-US" sz="1000" b="1">
              <a:solidFill>
                <a:schemeClr val="dk1"/>
              </a:solidFill>
              <a:effectLst/>
              <a:latin typeface="Pero" panose="020F0506020203030304" pitchFamily="34" charset="0"/>
              <a:ea typeface="+mn-ea"/>
              <a:cs typeface="+mn-cs"/>
            </a:rPr>
            <a:t> € with the implementation costs of ca. 2,7 Mio</a:t>
          </a:r>
          <a:r>
            <a:rPr lang="en-US" sz="1000" b="1" baseline="0">
              <a:solidFill>
                <a:schemeClr val="dk1"/>
              </a:solidFill>
              <a:effectLst/>
              <a:latin typeface="Pero" panose="020F0506020203030304" pitchFamily="34" charset="0"/>
              <a:ea typeface="+mn-ea"/>
              <a:cs typeface="+mn-cs"/>
            </a:rPr>
            <a:t> € </a:t>
          </a:r>
          <a:r>
            <a:rPr lang="en-US" sz="1000">
              <a:solidFill>
                <a:schemeClr val="dk1"/>
              </a:solidFill>
              <a:effectLst/>
              <a:latin typeface="Pero" panose="020F0506020203030304" pitchFamily="34" charset="0"/>
              <a:ea typeface="+mn-ea"/>
              <a:cs typeface="+mn-cs"/>
            </a:rPr>
            <a:t>(</a:t>
          </a:r>
          <a:r>
            <a:rPr lang="en-US" sz="1000" b="0" i="0" baseline="0">
              <a:solidFill>
                <a:schemeClr val="dk1"/>
              </a:solidFill>
              <a:effectLst/>
              <a:latin typeface="Pero" panose="020F0506020203030304" pitchFamily="34" charset="0"/>
              <a:ea typeface="+mn-ea"/>
              <a:cs typeface="+mn-cs"/>
            </a:rPr>
            <a:t>values are discounted and delated to real 2021 €</a:t>
          </a:r>
          <a:r>
            <a:rPr lang="en-US" sz="1000">
              <a:solidFill>
                <a:schemeClr val="dk1"/>
              </a:solidFill>
              <a:effectLst/>
              <a:latin typeface="Pero" panose="020F0506020203030304" pitchFamily="34" charset="0"/>
              <a:ea typeface="+mn-ea"/>
              <a:cs typeface="+mn-cs"/>
            </a:rPr>
            <a:t>). </a:t>
          </a:r>
          <a:endParaRPr lang="en-US" sz="1000" b="0" i="0" u="none" strike="noStrike" baseline="0">
            <a:solidFill>
              <a:schemeClr val="dk1"/>
            </a:solidFill>
            <a:latin typeface="Pero" panose="020F0506020203030304" pitchFamily="34" charset="0"/>
            <a:ea typeface="+mn-ea"/>
            <a:cs typeface="+mn-cs"/>
          </a:endParaRP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The preliminary </a:t>
          </a:r>
          <a:r>
            <a:rPr lang="en-US" sz="1000" b="1" i="0" u="none" strike="noStrike" baseline="0">
              <a:solidFill>
                <a:schemeClr val="dk1"/>
              </a:solidFill>
              <a:latin typeface="Pero" panose="020F0506020203030304" pitchFamily="34" charset="0"/>
              <a:ea typeface="+mn-ea"/>
              <a:cs typeface="+mn-cs"/>
            </a:rPr>
            <a:t>SROI result of 5,5 </a:t>
          </a:r>
          <a:r>
            <a:rPr lang="en-US" sz="1000" b="0" i="0" u="none" strike="noStrike" baseline="0">
              <a:solidFill>
                <a:schemeClr val="dk1"/>
              </a:solidFill>
              <a:latin typeface="Pero" panose="020F0506020203030304" pitchFamily="34" charset="0"/>
              <a:ea typeface="+mn-ea"/>
              <a:cs typeface="+mn-cs"/>
            </a:rPr>
            <a:t>shows that under the current assumptions, income effects achieved by the project will significantly outperform the project investment. </a:t>
          </a:r>
        </a:p>
        <a:p>
          <a:pPr marL="171450" indent="-171450">
            <a:buFont typeface="Arial" panose="020B0604020202020204" pitchFamily="34" charset="0"/>
            <a:buChar char="•"/>
          </a:pPr>
          <a:r>
            <a:rPr lang="en-US" sz="1000" b="0" i="0" u="none" strike="noStrike" baseline="0">
              <a:solidFill>
                <a:schemeClr val="dk1"/>
              </a:solidFill>
              <a:latin typeface="Pero" panose="020F0506020203030304" pitchFamily="34" charset="0"/>
              <a:ea typeface="+mn-ea"/>
              <a:cs typeface="+mn-cs"/>
            </a:rPr>
            <a:t>In our model, </a:t>
          </a:r>
          <a:r>
            <a:rPr lang="en-US" sz="1000" b="1" i="0" u="none" strike="noStrike" baseline="0">
              <a:solidFill>
                <a:schemeClr val="dk1"/>
              </a:solidFill>
              <a:latin typeface="Pero" panose="020F0506020203030304" pitchFamily="34" charset="0"/>
              <a:ea typeface="+mn-ea"/>
              <a:cs typeface="+mn-cs"/>
            </a:rPr>
            <a:t>the main income driver is stumping as a means of rejuvenation coffee trees</a:t>
          </a:r>
          <a:r>
            <a:rPr lang="en-US" sz="1000" b="0" i="0" u="none" strike="noStrike" baseline="0">
              <a:solidFill>
                <a:schemeClr val="dk1"/>
              </a:solidFill>
              <a:latin typeface="Pero" panose="020F0506020203030304" pitchFamily="34" charset="0"/>
              <a:ea typeface="+mn-ea"/>
              <a:cs typeface="+mn-cs"/>
            </a:rPr>
            <a:t>. Yield effects of stumping are estimated based on TNS's monitoring data and might be overestimating the actual impact. Under conservative assumptions on stumping yield impacts, the SROI drops to 1,5.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Accordingly, </a:t>
          </a:r>
          <a:r>
            <a:rPr lang="en-US" sz="1000" b="1" i="0" baseline="0">
              <a:solidFill>
                <a:schemeClr val="dk1"/>
              </a:solidFill>
              <a:effectLst/>
              <a:latin typeface="Pero" panose="020F0506020203030304" pitchFamily="34" charset="0"/>
              <a:ea typeface="+mn-ea"/>
              <a:cs typeface="+mn-cs"/>
            </a:rPr>
            <a:t>we asses the level of certainty of the model as low. </a:t>
          </a:r>
          <a:r>
            <a:rPr lang="en-US" sz="1000" b="0" i="0" baseline="0">
              <a:solidFill>
                <a:schemeClr val="dk1"/>
              </a:solidFill>
              <a:effectLst/>
              <a:latin typeface="Pero" panose="020F0506020203030304" pitchFamily="34" charset="0"/>
              <a:ea typeface="+mn-ea"/>
              <a:cs typeface="+mn-cs"/>
            </a:rPr>
            <a:t>The base case represents the optimistic scenario. Based on the sensitivity analysis we estimate that the final SROI will range between 2,5 and 5,5</a:t>
          </a:r>
          <a:r>
            <a:rPr lang="en-US" sz="1100" b="0" i="0" baseline="0">
              <a:solidFill>
                <a:schemeClr val="dk1"/>
              </a:solidFill>
              <a:effectLst/>
              <a:latin typeface="Pero" panose="020F0506020203030304" pitchFamily="34" charset="0"/>
              <a:ea typeface="+mn-ea"/>
              <a:cs typeface="+mn-cs"/>
            </a:rPr>
            <a:t>.</a:t>
          </a:r>
          <a:endParaRPr lang="en-US" sz="1000" b="0" i="0" baseline="0">
            <a:solidFill>
              <a:schemeClr val="dk1"/>
            </a:solidFill>
            <a:effectLst/>
            <a:latin typeface="Pero" panose="020F0506020203030304" pitchFamily="34" charset="0"/>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However, the sensitivity analysis shows that the program is robust: </a:t>
          </a:r>
          <a:r>
            <a:rPr lang="en-US" sz="1000" b="1" i="0" baseline="0">
              <a:solidFill>
                <a:schemeClr val="dk1"/>
              </a:solidFill>
              <a:effectLst/>
              <a:latin typeface="Pero" panose="020F0506020203030304" pitchFamily="34" charset="0"/>
              <a:ea typeface="+mn-ea"/>
              <a:cs typeface="+mn-cs"/>
            </a:rPr>
            <a:t>even with conservative assumptions, the SROI stays above 1</a:t>
          </a:r>
          <a:endParaRPr lang="en-US" sz="1000">
            <a:effectLst/>
            <a:latin typeface="Pero" panose="020F0506020203030304" pitchFamily="34" charset="0"/>
          </a:endParaRPr>
        </a:p>
      </xdr:txBody>
    </xdr:sp>
    <xdr:clientData/>
  </xdr:twoCellAnchor>
  <xdr:twoCellAnchor>
    <xdr:from>
      <xdr:col>0</xdr:col>
      <xdr:colOff>245404</xdr:colOff>
      <xdr:row>44</xdr:row>
      <xdr:rowOff>49008</xdr:rowOff>
    </xdr:from>
    <xdr:to>
      <xdr:col>3</xdr:col>
      <xdr:colOff>317298</xdr:colOff>
      <xdr:row>62</xdr:row>
      <xdr:rowOff>30399</xdr:rowOff>
    </xdr:to>
    <xdr:graphicFrame macro="">
      <xdr:nvGraphicFramePr>
        <xdr:cNvPr id="11" name="Chart 10">
          <a:extLst>
            <a:ext uri="{FF2B5EF4-FFF2-40B4-BE49-F238E27FC236}">
              <a16:creationId xmlns:a16="http://schemas.microsoft.com/office/drawing/2014/main" id="{042D5ECF-0AED-4DDB-9734-382D29CBA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468921</xdr:colOff>
      <xdr:row>44</xdr:row>
      <xdr:rowOff>42195</xdr:rowOff>
    </xdr:from>
    <xdr:to>
      <xdr:col>10</xdr:col>
      <xdr:colOff>499394</xdr:colOff>
      <xdr:row>62</xdr:row>
      <xdr:rowOff>18676</xdr:rowOff>
    </xdr:to>
    <xdr:graphicFrame macro="">
      <xdr:nvGraphicFramePr>
        <xdr:cNvPr id="12" name="Chart 11">
          <a:extLst>
            <a:ext uri="{FF2B5EF4-FFF2-40B4-BE49-F238E27FC236}">
              <a16:creationId xmlns:a16="http://schemas.microsoft.com/office/drawing/2014/main" id="{4B659872-4F9F-4108-AD2D-286FB4C1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293856</xdr:colOff>
      <xdr:row>18</xdr:row>
      <xdr:rowOff>76198</xdr:rowOff>
    </xdr:from>
    <xdr:to>
      <xdr:col>11</xdr:col>
      <xdr:colOff>22412</xdr:colOff>
      <xdr:row>26</xdr:row>
      <xdr:rowOff>168088</xdr:rowOff>
    </xdr:to>
    <xdr:sp macro="" textlink="">
      <xdr:nvSpPr>
        <xdr:cNvPr id="21" name="TextBox 2">
          <a:extLst>
            <a:ext uri="{FF2B5EF4-FFF2-40B4-BE49-F238E27FC236}">
              <a16:creationId xmlns:a16="http://schemas.microsoft.com/office/drawing/2014/main" id="{77D5BBC5-A8DB-439D-AAEF-BE18919125C8}"/>
            </a:ext>
          </a:extLst>
        </xdr:cNvPr>
        <xdr:cNvSpPr txBox="1"/>
      </xdr:nvSpPr>
      <xdr:spPr>
        <a:xfrm>
          <a:off x="6423474" y="4345639"/>
          <a:ext cx="5185820" cy="204171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a:t>
          </a:r>
          <a:endParaRPr lang="en-US" sz="1050" b="0" i="0" u="none" strike="noStrike" baseline="0">
            <a:solidFill>
              <a:schemeClr val="dk1"/>
            </a:solidFill>
            <a:latin typeface="Pero" panose="020F0506020203030304" pitchFamily="34" charset="0"/>
            <a:ea typeface="+mn-ea"/>
            <a:cs typeface="+mn-cs"/>
          </a:endParaRPr>
        </a:p>
        <a:p>
          <a:r>
            <a:rPr lang="en-US" sz="1000" b="0" i="0" u="sng" baseline="0">
              <a:solidFill>
                <a:schemeClr val="dk1"/>
              </a:solidFill>
              <a:effectLst/>
              <a:latin typeface="Pero" panose="020F0506020203030304" pitchFamily="34" charset="0"/>
              <a:ea typeface="+mn-ea"/>
              <a:cs typeface="+mn-cs"/>
            </a:rPr>
            <a:t>Evidence strength</a:t>
          </a:r>
          <a:r>
            <a:rPr lang="en-US" sz="1000" b="0" i="0" baseline="0">
              <a:solidFill>
                <a:schemeClr val="dk1"/>
              </a:solidFill>
              <a:effectLst/>
              <a:latin typeface="Pero" panose="020F0506020203030304" pitchFamily="34" charset="0"/>
              <a:ea typeface="+mn-ea"/>
              <a:cs typeface="+mn-cs"/>
            </a:rPr>
            <a:t>: No direct measurement of household income or consumption expenditure. Income effects modeled from intermediate outcomes. </a:t>
          </a:r>
          <a:endParaRPr lang="en-US" sz="1000">
            <a:effectLst/>
            <a:latin typeface="Pero" panose="020F0506020203030304" pitchFamily="34" charset="0"/>
          </a:endParaRPr>
        </a:p>
        <a:p>
          <a:r>
            <a:rPr lang="en-US" sz="1000" b="0" i="0" baseline="0">
              <a:solidFill>
                <a:schemeClr val="dk1"/>
              </a:solidFill>
              <a:effectLst/>
              <a:latin typeface="Pero" panose="020F0506020203030304" pitchFamily="34" charset="0"/>
              <a:ea typeface="+mn-ea"/>
              <a:cs typeface="+mn-cs"/>
            </a:rPr>
            <a:t>Observational or quasi-experimental evaluation design with some attempt at causal inference.</a:t>
          </a:r>
          <a:br>
            <a:rPr lang="en-US" sz="1000" b="0" i="0" baseline="0">
              <a:solidFill>
                <a:schemeClr val="dk1"/>
              </a:solidFill>
              <a:effectLst/>
              <a:latin typeface="Pero" panose="020F0506020203030304" pitchFamily="34" charset="0"/>
              <a:ea typeface="+mn-ea"/>
              <a:cs typeface="+mn-cs"/>
            </a:rPr>
          </a:br>
          <a:r>
            <a:rPr lang="en-US" sz="1000" b="0" i="0" baseline="0">
              <a:solidFill>
                <a:schemeClr val="dk1"/>
              </a:solidFill>
              <a:effectLst/>
              <a:latin typeface="Pero" panose="020F0506020203030304" pitchFamily="34" charset="0"/>
              <a:ea typeface="+mn-ea"/>
              <a:cs typeface="+mn-cs"/>
            </a:rPr>
            <a:t>Impact estimates from similar contexts or adapted with reasoning</a:t>
          </a:r>
        </a:p>
        <a:p>
          <a:r>
            <a:rPr lang="en-US" sz="1000" b="0" i="0" u="sng" baseline="0">
              <a:solidFill>
                <a:schemeClr val="dk1"/>
              </a:solidFill>
              <a:effectLst/>
              <a:latin typeface="Pero" panose="020F0506020203030304" pitchFamily="34" charset="0"/>
              <a:ea typeface="+mn-ea"/>
              <a:cs typeface="+mn-cs"/>
            </a:rPr>
            <a:t>Precision of impact estimates</a:t>
          </a:r>
          <a:r>
            <a:rPr lang="en-US" sz="1000" b="0" i="0" baseline="0">
              <a:solidFill>
                <a:schemeClr val="dk1"/>
              </a:solidFill>
              <a:effectLst/>
              <a:latin typeface="Pero" panose="020F0506020203030304" pitchFamily="34" charset="0"/>
              <a:ea typeface="+mn-ea"/>
              <a:cs typeface="+mn-cs"/>
            </a:rPr>
            <a:t>: : Moderately wide CI (CI width 30-60%). Borderline statistical significance of impact estimates.</a:t>
          </a:r>
          <a:endParaRPr lang="en-US" sz="1000">
            <a:effectLst/>
            <a:latin typeface="Pero" panose="020F0506020203030304" pitchFamily="34" charset="0"/>
          </a:endParaRPr>
        </a:p>
        <a:p>
          <a:r>
            <a:rPr lang="en-US" sz="1000" b="0" i="0" u="sng" baseline="0">
              <a:solidFill>
                <a:schemeClr val="dk1"/>
              </a:solidFill>
              <a:effectLst/>
              <a:latin typeface="Pero" panose="020F0506020203030304" pitchFamily="34" charset="0"/>
              <a:ea typeface="+mn-ea"/>
              <a:cs typeface="+mn-cs"/>
            </a:rPr>
            <a:t>Assumptions</a:t>
          </a:r>
          <a:r>
            <a:rPr lang="en-US" sz="1000" b="0" i="0" baseline="0">
              <a:solidFill>
                <a:schemeClr val="dk1"/>
              </a:solidFill>
              <a:effectLst/>
              <a:latin typeface="Pero" panose="020F0506020203030304" pitchFamily="34" charset="0"/>
              <a:ea typeface="+mn-ea"/>
              <a:cs typeface="+mn-cs"/>
            </a:rPr>
            <a:t>: Multiple key assumptions with high uncertainty (best guess).</a:t>
          </a:r>
          <a:endParaRPr lang="en-US" sz="1000">
            <a:effectLst/>
            <a:latin typeface="Pero" panose="020F0506020203030304" pitchFamily="34" charset="0"/>
          </a:endParaRPr>
        </a:p>
        <a:p>
          <a:r>
            <a:rPr lang="en-US" sz="1000" b="0" i="0" u="sng" baseline="0">
              <a:solidFill>
                <a:schemeClr val="dk1"/>
              </a:solidFill>
              <a:effectLst/>
              <a:latin typeface="Pero" panose="020F0506020203030304" pitchFamily="34" charset="0"/>
              <a:ea typeface="+mn-ea"/>
              <a:cs typeface="+mn-cs"/>
            </a:rPr>
            <a:t>Sensitivity</a:t>
          </a:r>
          <a:r>
            <a:rPr lang="en-US" sz="1000" b="0" i="0" baseline="0">
              <a:solidFill>
                <a:schemeClr val="dk1"/>
              </a:solidFill>
              <a:effectLst/>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endParaRPr lang="en-US" sz="1000">
            <a:effectLst/>
            <a:latin typeface="Pero" panose="020F0506020203030304" pitchFamily="34" charset="0"/>
          </a:endParaRPr>
        </a:p>
      </xdr:txBody>
    </xdr:sp>
    <xdr:clientData/>
  </xdr:twoCellAnchor>
  <xdr:twoCellAnchor>
    <xdr:from>
      <xdr:col>3</xdr:col>
      <xdr:colOff>110515</xdr:colOff>
      <xdr:row>29</xdr:row>
      <xdr:rowOff>5166</xdr:rowOff>
    </xdr:from>
    <xdr:to>
      <xdr:col>11</xdr:col>
      <xdr:colOff>136100</xdr:colOff>
      <xdr:row>31</xdr:row>
      <xdr:rowOff>39737</xdr:rowOff>
    </xdr:to>
    <xdr:sp macro="" textlink="">
      <xdr:nvSpPr>
        <xdr:cNvPr id="17" name="TextBox 2">
          <a:extLst>
            <a:ext uri="{FF2B5EF4-FFF2-40B4-BE49-F238E27FC236}">
              <a16:creationId xmlns:a16="http://schemas.microsoft.com/office/drawing/2014/main" id="{B0BB918C-AF6A-4CAF-BD20-0D46B29B0812}"/>
            </a:ext>
          </a:extLst>
        </xdr:cNvPr>
        <xdr:cNvSpPr txBox="1"/>
      </xdr:nvSpPr>
      <xdr:spPr>
        <a:xfrm>
          <a:off x="6251100" y="7067852"/>
          <a:ext cx="5487261" cy="98707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Good</a:t>
          </a:r>
          <a:r>
            <a:rPr lang="en-US" sz="1050" b="0" i="0" u="none" strike="noStrike" baseline="0">
              <a:solidFill>
                <a:schemeClr val="dk1"/>
              </a:solidFill>
              <a:latin typeface="Pero" panose="020F0506020203030304" pitchFamily="34" charset="0"/>
              <a:ea typeface="+mn-ea"/>
              <a:cs typeface="+mn-cs"/>
            </a:rPr>
            <a:t>	</a:t>
          </a:r>
        </a:p>
        <a:p>
          <a:r>
            <a:rPr lang="en-US" sz="1050" b="0" i="0" u="none" strike="noStrike" baseline="0">
              <a:solidFill>
                <a:schemeClr val="dk1"/>
              </a:solidFill>
              <a:latin typeface="Pero" panose="020F0506020203030304" pitchFamily="34" charset="0"/>
              <a:ea typeface="+mn-ea"/>
              <a:cs typeface="+mn-cs"/>
            </a:rPr>
            <a:t>Design is generally appropriate, with clear and justified sampling and analytical methods, though some limitations remain	</a:t>
          </a:r>
        </a:p>
        <a:p>
          <a:r>
            <a:rPr lang="en-US" sz="1050" b="0" i="0" u="none" strike="noStrike" baseline="0">
              <a:solidFill>
                <a:schemeClr val="dk1"/>
              </a:solidFill>
              <a:latin typeface="Pero" panose="020F0506020203030304" pitchFamily="34" charset="0"/>
              <a:ea typeface="+mn-ea"/>
              <a:cs typeface="+mn-cs"/>
            </a:rPr>
            <a:t>Assumptions: Some substantiated assumptions (with some form of support based on available evidence or logical reasoning).</a:t>
          </a:r>
        </a:p>
      </xdr:txBody>
    </xdr:sp>
    <xdr:clientData/>
  </xdr:twoCellAnchor>
  <xdr:twoCellAnchor editAs="oneCell">
    <xdr:from>
      <xdr:col>4</xdr:col>
      <xdr:colOff>247650</xdr:colOff>
      <xdr:row>0</xdr:row>
      <xdr:rowOff>47625</xdr:rowOff>
    </xdr:from>
    <xdr:to>
      <xdr:col>6</xdr:col>
      <xdr:colOff>275240</xdr:colOff>
      <xdr:row>2</xdr:row>
      <xdr:rowOff>158750</xdr:rowOff>
    </xdr:to>
    <xdr:pic>
      <xdr:nvPicPr>
        <xdr:cNvPr id="6" name="Grafik 5">
          <a:extLst>
            <a:ext uri="{FF2B5EF4-FFF2-40B4-BE49-F238E27FC236}">
              <a16:creationId xmlns:a16="http://schemas.microsoft.com/office/drawing/2014/main" id="{F520A505-FEFC-22F9-B86D-4AD84D20A817}"/>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458075" y="47625"/>
          <a:ext cx="1300765" cy="685800"/>
        </a:xfrm>
        <a:prstGeom prst="rect">
          <a:avLst/>
        </a:prstGeom>
      </xdr:spPr>
    </xdr:pic>
    <xdr:clientData/>
  </xdr:twoCellAnchor>
  <xdr:twoCellAnchor editAs="oneCell">
    <xdr:from>
      <xdr:col>9</xdr:col>
      <xdr:colOff>131667</xdr:colOff>
      <xdr:row>0</xdr:row>
      <xdr:rowOff>153169</xdr:rowOff>
    </xdr:from>
    <xdr:to>
      <xdr:col>10</xdr:col>
      <xdr:colOff>496813</xdr:colOff>
      <xdr:row>2</xdr:row>
      <xdr:rowOff>114247</xdr:rowOff>
    </xdr:to>
    <xdr:pic>
      <xdr:nvPicPr>
        <xdr:cNvPr id="7" name="Grafik 6">
          <a:extLst>
            <a:ext uri="{FF2B5EF4-FFF2-40B4-BE49-F238E27FC236}">
              <a16:creationId xmlns:a16="http://schemas.microsoft.com/office/drawing/2014/main" id="{2F132948-D946-0C30-7CDA-2219EC1EA913}"/>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447242" y="153169"/>
          <a:ext cx="974746" cy="532578"/>
        </a:xfrm>
        <a:prstGeom prst="rect">
          <a:avLst/>
        </a:prstGeom>
      </xdr:spPr>
    </xdr:pic>
    <xdr:clientData/>
  </xdr:twoCellAnchor>
  <xdr:twoCellAnchor editAs="oneCell">
    <xdr:from>
      <xdr:col>7</xdr:col>
      <xdr:colOff>285750</xdr:colOff>
      <xdr:row>0</xdr:row>
      <xdr:rowOff>128184</xdr:rowOff>
    </xdr:from>
    <xdr:to>
      <xdr:col>8</xdr:col>
      <xdr:colOff>476250</xdr:colOff>
      <xdr:row>2</xdr:row>
      <xdr:rowOff>142983</xdr:rowOff>
    </xdr:to>
    <xdr:pic>
      <xdr:nvPicPr>
        <xdr:cNvPr id="9" name="Grafik 8">
          <a:extLst>
            <a:ext uri="{FF2B5EF4-FFF2-40B4-BE49-F238E27FC236}">
              <a16:creationId xmlns:a16="http://schemas.microsoft.com/office/drawing/2014/main" id="{0E2F1667-5FAD-2928-F2E8-071DA1370A7F}"/>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9382125" y="128184"/>
          <a:ext cx="800100" cy="583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2</xdr:row>
      <xdr:rowOff>142875</xdr:rowOff>
    </xdr:from>
    <xdr:to>
      <xdr:col>16</xdr:col>
      <xdr:colOff>123825</xdr:colOff>
      <xdr:row>31</xdr:row>
      <xdr:rowOff>95250</xdr:rowOff>
    </xdr:to>
    <xdr:pic>
      <xdr:nvPicPr>
        <xdr:cNvPr id="2" name="Picture 1">
          <a:extLst>
            <a:ext uri="{FF2B5EF4-FFF2-40B4-BE49-F238E27FC236}">
              <a16:creationId xmlns:a16="http://schemas.microsoft.com/office/drawing/2014/main" id="{C28BC8C7-F733-2CB5-783A-EB84DD8A1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71500"/>
          <a:ext cx="9067800" cy="547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304800</xdr:colOff>
      <xdr:row>35</xdr:row>
      <xdr:rowOff>28575</xdr:rowOff>
    </xdr:from>
    <xdr:to>
      <xdr:col>17</xdr:col>
      <xdr:colOff>265113</xdr:colOff>
      <xdr:row>66</xdr:row>
      <xdr:rowOff>152400</xdr:rowOff>
    </xdr:to>
    <xdr:pic>
      <xdr:nvPicPr>
        <xdr:cNvPr id="3" name="Picture 2">
          <a:extLst>
            <a:ext uri="{FF2B5EF4-FFF2-40B4-BE49-F238E27FC236}">
              <a16:creationId xmlns:a16="http://schemas.microsoft.com/office/drawing/2014/main" id="{37B7AFA4-5AEA-097A-6E52-A3DF5DB7EF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6791325"/>
          <a:ext cx="9713913"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73006</xdr:colOff>
      <xdr:row>22</xdr:row>
      <xdr:rowOff>181088</xdr:rowOff>
    </xdr:from>
    <xdr:to>
      <xdr:col>14</xdr:col>
      <xdr:colOff>248478</xdr:colOff>
      <xdr:row>26</xdr:row>
      <xdr:rowOff>173935</xdr:rowOff>
    </xdr:to>
    <xdr:sp macro="" textlink="">
      <xdr:nvSpPr>
        <xdr:cNvPr id="3" name="TextBox 2">
          <a:extLst>
            <a:ext uri="{FF2B5EF4-FFF2-40B4-BE49-F238E27FC236}">
              <a16:creationId xmlns:a16="http://schemas.microsoft.com/office/drawing/2014/main" id="{9F451C6E-2D33-4696-B354-9EACE4063689}"/>
            </a:ext>
          </a:extLst>
        </xdr:cNvPr>
        <xdr:cNvSpPr txBox="1"/>
      </xdr:nvSpPr>
      <xdr:spPr>
        <a:xfrm>
          <a:off x="73006" y="4372088"/>
          <a:ext cx="8988168" cy="7548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baseline="0">
              <a:solidFill>
                <a:schemeClr val="dk1"/>
              </a:solidFill>
              <a:effectLst/>
              <a:latin typeface="Pero" panose="020F0506020203030304" pitchFamily="34" charset="0"/>
              <a:ea typeface="+mn-ea"/>
              <a:cs typeface="+mn-cs"/>
            </a:rPr>
            <a:t>Fair	Design and methods have significant limitations that reduce confidence in causal claims.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Good	Design is generally appropriate, with clear and justified sampling and analytical methods, though some limitations remain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Excellent	Rigorous design with well-documented, robust methods that effectively address potential biases and support strong causal inferences.</a:t>
          </a:r>
          <a:endParaRPr lang="en-US" sz="1050">
            <a:effectLst/>
            <a:latin typeface="Pero" panose="020F0506020203030304" pitchFamily="34" charset="0"/>
          </a:endParaRPr>
        </a:p>
      </xdr:txBody>
    </xdr:sp>
    <xdr:clientData/>
  </xdr:twoCellAnchor>
  <xdr:twoCellAnchor>
    <xdr:from>
      <xdr:col>0</xdr:col>
      <xdr:colOff>74544</xdr:colOff>
      <xdr:row>34</xdr:row>
      <xdr:rowOff>81435</xdr:rowOff>
    </xdr:from>
    <xdr:to>
      <xdr:col>14</xdr:col>
      <xdr:colOff>259897</xdr:colOff>
      <xdr:row>42</xdr:row>
      <xdr:rowOff>0</xdr:rowOff>
    </xdr:to>
    <xdr:sp macro="" textlink="">
      <xdr:nvSpPr>
        <xdr:cNvPr id="4" name="TextBox 3">
          <a:extLst>
            <a:ext uri="{FF2B5EF4-FFF2-40B4-BE49-F238E27FC236}">
              <a16:creationId xmlns:a16="http://schemas.microsoft.com/office/drawing/2014/main" id="{B103C9AD-A7A5-4F9D-8C41-3CCAD0AA7C0B}"/>
            </a:ext>
          </a:extLst>
        </xdr:cNvPr>
        <xdr:cNvSpPr txBox="1"/>
      </xdr:nvSpPr>
      <xdr:spPr>
        <a:xfrm>
          <a:off x="74544" y="6558435"/>
          <a:ext cx="8882092" cy="1442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118482</xdr:colOff>
      <xdr:row>53</xdr:row>
      <xdr:rowOff>58645</xdr:rowOff>
    </xdr:from>
    <xdr:to>
      <xdr:col>14</xdr:col>
      <xdr:colOff>273326</xdr:colOff>
      <xdr:row>77</xdr:row>
      <xdr:rowOff>173935</xdr:rowOff>
    </xdr:to>
    <xdr:sp macro="" textlink="">
      <xdr:nvSpPr>
        <xdr:cNvPr id="7" name="TextBox 4">
          <a:extLst>
            <a:ext uri="{FF2B5EF4-FFF2-40B4-BE49-F238E27FC236}">
              <a16:creationId xmlns:a16="http://schemas.microsoft.com/office/drawing/2014/main" id="{E19C61C1-5D27-4E76-97EE-778E5A3C95BE}"/>
            </a:ext>
          </a:extLst>
        </xdr:cNvPr>
        <xdr:cNvSpPr txBox="1"/>
      </xdr:nvSpPr>
      <xdr:spPr>
        <a:xfrm>
          <a:off x="118482" y="10345645"/>
          <a:ext cx="8967540" cy="468729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*Yield benefit</a:t>
          </a:r>
          <a:r>
            <a:rPr lang="en-US" sz="1050" b="1" baseline="0">
              <a:solidFill>
                <a:schemeClr val="dk1"/>
              </a:solidFill>
              <a:effectLst/>
              <a:latin typeface="Pero" panose="020F0506020203030304" pitchFamily="34" charset="0"/>
              <a:ea typeface="+mn-ea"/>
              <a:cs typeface="+mn-cs"/>
            </a:rPr>
            <a:t> of GAP adoption besides stumping: </a:t>
          </a:r>
          <a:r>
            <a:rPr lang="en-US" sz="1050" b="0" baseline="0">
              <a:solidFill>
                <a:schemeClr val="dk1"/>
              </a:solidFill>
              <a:effectLst/>
              <a:latin typeface="Pero" panose="020F0506020203030304" pitchFamily="34" charset="0"/>
              <a:ea typeface="+mn-ea"/>
              <a:cs typeface="+mn-cs"/>
            </a:rPr>
            <a:t>We have no evidence on the yield effect of the adoption of GAPs other than stumping. The UCAT RCT reports ITT esimates on coffee yield per tree between 4.1% and 10.5% of a training program on regenerative agriculture practices in coffee including rejuvenation in Uganda. We assume that yield effects start one year after the start of programming (as it takes 1 year to cover all training topics).</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*Unstumped yield: </a:t>
          </a:r>
          <a:r>
            <a:rPr lang="en-US" sz="1050" b="0" baseline="0">
              <a:solidFill>
                <a:schemeClr val="dk1"/>
              </a:solidFill>
              <a:effectLst/>
              <a:latin typeface="Pero" panose="020F0506020203030304" pitchFamily="34" charset="0"/>
              <a:ea typeface="+mn-ea"/>
              <a:cs typeface="+mn-cs"/>
            </a:rPr>
            <a:t>The projected yield from TNS is underlying major assumptions that will be verified during a yield study conducted by IFRPI in 2026/2027 harvest season. For example, the average yield per productive tree in Gera and Gomma (C23 cohort) was found to be on average ~0,5 kg which is less than half of the reported 1,1kg in the TNS model.</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*Yield benefit of stumping: </a:t>
          </a:r>
          <a:r>
            <a:rPr lang="en-US" sz="1050" b="0" baseline="0">
              <a:solidFill>
                <a:schemeClr val="dk1"/>
              </a:solidFill>
              <a:effectLst/>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endParaRPr lang="en-US" sz="1050" b="0" baseline="0">
            <a:solidFill>
              <a:schemeClr val="dk1"/>
            </a:solidFill>
            <a:effectLst/>
            <a:latin typeface="Pero" panose="020F0506020203030304" pitchFamily="34" charset="0"/>
            <a:ea typeface="+mn-ea"/>
            <a:cs typeface="+mn-cs"/>
          </a:endParaRPr>
        </a:p>
        <a:p>
          <a:r>
            <a:rPr lang="en-US" sz="1050" b="1" baseline="0">
              <a:solidFill>
                <a:schemeClr val="dk1"/>
              </a:solidFill>
              <a:effectLst/>
              <a:latin typeface="Pero" panose="020F0506020203030304" pitchFamily="34" charset="0"/>
              <a:ea typeface="+mn-ea"/>
              <a:cs typeface="+mn-cs"/>
            </a:rPr>
            <a:t>*Dynamic yield benefits: </a:t>
          </a:r>
          <a:r>
            <a:rPr lang="en-US" sz="1050" b="0" baseline="0">
              <a:solidFill>
                <a:schemeClr val="dk1"/>
              </a:solidFill>
              <a:effectLst/>
              <a:latin typeface="Pero" panose="020F0506020203030304" pitchFamily="34" charset="0"/>
              <a:ea typeface="+mn-ea"/>
              <a:cs typeface="+mn-cs"/>
            </a:rPr>
            <a:t>The available evaluation data does not allow us to estimate the dynamic effects of the CFC on practice adoption - it is possible that the effects became either stronger or weaker over time. 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endParaRPr lang="en-US" sz="1050" b="0" baseline="0">
            <a:solidFill>
              <a:schemeClr val="dk1"/>
            </a:solidFill>
            <a:effectLst/>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1" baseline="0">
              <a:solidFill>
                <a:schemeClr val="dk1"/>
              </a:solidFill>
              <a:effectLst/>
              <a:latin typeface="Pero" panose="020F0506020203030304" pitchFamily="34" charset="0"/>
              <a:ea typeface="+mn-ea"/>
              <a:cs typeface="+mn-cs"/>
            </a:rPr>
            <a:t>Spillover effects: </a:t>
          </a:r>
          <a:r>
            <a:rPr lang="en-US" sz="1050" b="0" baseline="0">
              <a:solidFill>
                <a:schemeClr val="dk1"/>
              </a:solidFill>
              <a:effectLst/>
              <a:latin typeface="Pero" panose="020F0506020203030304" pitchFamily="34" charset="0"/>
              <a:ea typeface="+mn-ea"/>
              <a:cs typeface="+mn-cs"/>
            </a:rPr>
            <a:t>The Coffee Farm College could lead to positive spillover effects among participating and non-participating households. Participating households may apply their BP knowledge to other crops. Non-participating households may learn about BPs through knowledge sharing and start applying BPs on their (coffee) plots. The presence of the TNS Coffee Farm College can also inflluence local markets and labor demand. There is limited and mixed evidence on the direction and magnitude of spillover effects of agricultural extension programs. An RCT of an TNS agronomy training program among Rwandan coffee farmers finds no evidence of social diffusion of BP knoweldge; instead control households experienced negative spillovers, likely because of competition for scarce inputs, such as inorganic fertilizer and labor (Duflo et al., 2026). Therefore, we do not consider (positive and/or negative) spillover effects in SROI calculation.</a:t>
          </a:r>
        </a:p>
        <a:p>
          <a:endParaRPr lang="en-US" sz="1050" b="1">
            <a:solidFill>
              <a:schemeClr val="dk1"/>
            </a:solidFill>
            <a:effectLst/>
            <a:latin typeface="Pero" panose="020F0506020203030304" pitchFamily="34" charset="0"/>
            <a:ea typeface="+mn-ea"/>
            <a:cs typeface="+mn-cs"/>
          </a:endParaRPr>
        </a:p>
      </xdr:txBody>
    </xdr:sp>
    <xdr:clientData/>
  </xdr:twoCellAnchor>
  <xdr:twoCellAnchor>
    <xdr:from>
      <xdr:col>0</xdr:col>
      <xdr:colOff>77069</xdr:colOff>
      <xdr:row>42</xdr:row>
      <xdr:rowOff>51854</xdr:rowOff>
    </xdr:from>
    <xdr:to>
      <xdr:col>14</xdr:col>
      <xdr:colOff>248478</xdr:colOff>
      <xdr:row>47</xdr:row>
      <xdr:rowOff>56844</xdr:rowOff>
    </xdr:to>
    <xdr:sp macro="" textlink="">
      <xdr:nvSpPr>
        <xdr:cNvPr id="6" name="TextBox 5">
          <a:extLst>
            <a:ext uri="{FF2B5EF4-FFF2-40B4-BE49-F238E27FC236}">
              <a16:creationId xmlns:a16="http://schemas.microsoft.com/office/drawing/2014/main" id="{B0357783-5EFA-49A5-8CC8-C807E8590FA0}"/>
            </a:ext>
          </a:extLst>
        </xdr:cNvPr>
        <xdr:cNvSpPr txBox="1"/>
      </xdr:nvSpPr>
      <xdr:spPr>
        <a:xfrm>
          <a:off x="77069" y="8052854"/>
          <a:ext cx="8868148" cy="9574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 </a:t>
          </a:r>
          <a:r>
            <a:rPr lang="en-US" sz="1050" b="0">
              <a:solidFill>
                <a:schemeClr val="dk1"/>
              </a:solidFill>
              <a:effectLst/>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(2021 for C2022 and 2022 for C2023),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86069</xdr:colOff>
      <xdr:row>47</xdr:row>
      <xdr:rowOff>122189</xdr:rowOff>
    </xdr:from>
    <xdr:to>
      <xdr:col>14</xdr:col>
      <xdr:colOff>240196</xdr:colOff>
      <xdr:row>52</xdr:row>
      <xdr:rowOff>114300</xdr:rowOff>
    </xdr:to>
    <xdr:sp macro="" textlink="">
      <xdr:nvSpPr>
        <xdr:cNvPr id="5" name="TextBox 4">
          <a:extLst>
            <a:ext uri="{FF2B5EF4-FFF2-40B4-BE49-F238E27FC236}">
              <a16:creationId xmlns:a16="http://schemas.microsoft.com/office/drawing/2014/main" id="{BDDB169D-346F-47A8-8866-CE9BA3E732DB}"/>
            </a:ext>
          </a:extLst>
        </xdr:cNvPr>
        <xdr:cNvSpPr txBox="1"/>
      </xdr:nvSpPr>
      <xdr:spPr>
        <a:xfrm>
          <a:off x="86069" y="9075689"/>
          <a:ext cx="8955227" cy="94461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solidFill>
                <a:schemeClr val="dk1"/>
              </a:solidFill>
              <a:effectLst/>
              <a:latin typeface="Pero" panose="020F0506020203030304" pitchFamily="34" charset="0"/>
              <a:ea typeface="+mn-ea"/>
              <a:cs typeface="+mn-cs"/>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  </a:t>
          </a:r>
        </a:p>
      </xdr:txBody>
    </xdr:sp>
    <xdr:clientData/>
  </xdr:twoCellAnchor>
  <xdr:twoCellAnchor>
    <xdr:from>
      <xdr:col>0</xdr:col>
      <xdr:colOff>72081</xdr:colOff>
      <xdr:row>29</xdr:row>
      <xdr:rowOff>48955</xdr:rowOff>
    </xdr:from>
    <xdr:to>
      <xdr:col>14</xdr:col>
      <xdr:colOff>256761</xdr:colOff>
      <xdr:row>34</xdr:row>
      <xdr:rowOff>14031</xdr:rowOff>
    </xdr:to>
    <xdr:sp macro="" textlink="">
      <xdr:nvSpPr>
        <xdr:cNvPr id="8" name="TextBox 1">
          <a:extLst>
            <a:ext uri="{FF2B5EF4-FFF2-40B4-BE49-F238E27FC236}">
              <a16:creationId xmlns:a16="http://schemas.microsoft.com/office/drawing/2014/main" id="{83341F23-3FB6-442B-A713-A81A7740E6A3}"/>
            </a:ext>
          </a:extLst>
        </xdr:cNvPr>
        <xdr:cNvSpPr txBox="1"/>
      </xdr:nvSpPr>
      <xdr:spPr>
        <a:xfrm>
          <a:off x="72081" y="5573455"/>
          <a:ext cx="8881419" cy="9175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u="none" strike="noStrike" baseline="0">
              <a:solidFill>
                <a:schemeClr val="dk1"/>
              </a:solidFill>
              <a:latin typeface="Pero" panose="020F0506020203030304" pitchFamily="34" charset="0"/>
              <a:ea typeface="+mn-ea"/>
              <a:cs typeface="+mn-cs"/>
            </a:rPr>
            <a:t>*Impact measure: </a:t>
          </a:r>
          <a:r>
            <a:rPr lang="en-US" sz="1050" b="0" i="0" u="none" strike="noStrike" baseline="0">
              <a:solidFill>
                <a:schemeClr val="dk1"/>
              </a:solidFill>
              <a:latin typeface="Pero" panose="020F0506020203030304" pitchFamily="34" charset="0"/>
              <a:ea typeface="+mn-ea"/>
              <a:cs typeface="+mn-cs"/>
            </a:rPr>
            <a:t>The evaluation does not provide data on total household income. Instead, it focuses on the intermediate outcome of adoption status of regenerative agricultural practices and models income effects. We assume yield effects of practice adoption to calcuate coffee revenues, costs associated with practice adoption to calculate coffee profits and that changes in practices adoption do not affect other income-gernerating activities of the household, so that a change in coffee profits translates directly into an equal change in total household income. </a:t>
          </a:r>
        </a:p>
      </xdr:txBody>
    </xdr:sp>
    <xdr:clientData/>
  </xdr:twoCellAnchor>
  <xdr:twoCellAnchor>
    <xdr:from>
      <xdr:col>0</xdr:col>
      <xdr:colOff>64605</xdr:colOff>
      <xdr:row>0</xdr:row>
      <xdr:rowOff>68124</xdr:rowOff>
    </xdr:from>
    <xdr:to>
      <xdr:col>14</xdr:col>
      <xdr:colOff>264630</xdr:colOff>
      <xdr:row>22</xdr:row>
      <xdr:rowOff>140804</xdr:rowOff>
    </xdr:to>
    <xdr:sp macro="" textlink="">
      <xdr:nvSpPr>
        <xdr:cNvPr id="9" name="TextBox 2">
          <a:extLst>
            <a:ext uri="{FF2B5EF4-FFF2-40B4-BE49-F238E27FC236}">
              <a16:creationId xmlns:a16="http://schemas.microsoft.com/office/drawing/2014/main" id="{9F63BCD0-F731-47B0-B69B-6750AEF39D2E}"/>
            </a:ext>
          </a:extLst>
        </xdr:cNvPr>
        <xdr:cNvSpPr txBox="1"/>
      </xdr:nvSpPr>
      <xdr:spPr>
        <a:xfrm>
          <a:off x="64605" y="68124"/>
          <a:ext cx="8896764" cy="426368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pPr algn="l"/>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pPr algn="l"/>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pPr algn="l"/>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pPr algn="l"/>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pPr algn="l"/>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	changing shifts in ROI.</a:t>
          </a:r>
        </a:p>
        <a:p>
          <a:pPr algn="l"/>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wsDr>
</file>

<file path=xl/persons/person.xml><?xml version="1.0" encoding="utf-8"?>
<personList xmlns="http://schemas.microsoft.com/office/spreadsheetml/2018/threadedcomments" xmlns:x="http://schemas.openxmlformats.org/spreadsheetml/2006/main">
  <person displayName="Gutiérrez, Marlene" id="{2553C6AA-EBD4-495E-AC20-95B3AB0088D0}"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5" dT="2026-06-08T12:29:21.09" personId="{2553C6AA-EBD4-495E-AC20-95B3AB0088D0}" id="{5FD732D3-3776-46EA-87F6-875ACF1A08CA}">
    <text>50% Yield benefit of stumping (assumption realization rate of TNS model)  ; -10% Average Coffee Price Change</text>
  </threadedComment>
  <threadedComment ref="B26" dT="2026-06-08T12:29:37.15" personId="{2553C6AA-EBD4-495E-AC20-95B3AB0088D0}" id="{BB4E4352-38CB-41D3-81A3-1EF11930F84A}">
    <text>100% Yield benefit of stumping (assumption realization rate of TNS model) ; +10% Average Coffee Price Change</text>
  </threadedComment>
</ThreadedComments>
</file>

<file path=xl/threadedComments/threadedComment2.xml><?xml version="1.0" encoding="utf-8"?>
<ThreadedComments xmlns="http://schemas.microsoft.com/office/spreadsheetml/2018/threadedcomments" xmlns:x="http://schemas.openxmlformats.org/spreadsheetml/2006/main">
  <threadedComment ref="B19" dT="2026-06-08T08:10:07.68" personId="{2553C6AA-EBD4-495E-AC20-95B3AB0088D0}" id="{C95775DF-E7C6-4D96-AFF3-E0D79DCACE8E}">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C46" dT="2026-06-08T08:11:04.66" personId="{2553C6AA-EBD4-495E-AC20-95B3AB0088D0}" id="{52E57845-DDC4-4AA1-A1FC-490F7B5FD7F3}">
    <text>TNS qualitative observtion and interviews during field visits</text>
  </threadedComment>
  <threadedComment ref="G50" dT="2026-05-13T15:31:08.98" personId="{2553C6AA-EBD4-495E-AC20-95B3AB0088D0}" id="{3F12887C-B7B5-43B4-BDDE-6B60BA580D61}">
    <text>For rates after 2022, we take the 5-year average daily labor rate from 2018-2022.</text>
  </threadedComment>
  <threadedComment ref="C51" dT="2026-05-13T15:25:33.80" personId="{2553C6AA-EBD4-495E-AC20-95B3AB0088D0}" id="{773247EE-DC16-4650-AC3E-2655A12E4D70}">
    <text>2020: C2019 Endline (p. 51)</text>
  </threadedComment>
  <threadedComment ref="D51" dT="2026-05-13T15:25:46.84" personId="{2553C6AA-EBD4-495E-AC20-95B3AB0088D0}" id="{4916FD8A-A512-4E97-97F4-F896AE75CC51}">
    <text>2021: average 2020-2022</text>
  </threadedComment>
  <threadedComment ref="E51" dT="2026-05-13T15:25:58.36" personId="{2553C6AA-EBD4-495E-AC20-95B3AB0088D0}" id="{734949D7-C4C5-45D6-8B14-617C25CE70BB}">
    <text>2022: C2020 Endline (p.34)</text>
  </threadedComment>
  <threadedComment ref="F51" dT="2026-05-13T15:32:11.72" personId="{2553C6AA-EBD4-495E-AC20-95B3AB0088D0}" id="{C679050E-33B6-4444-A977-8B4C3CEE62CC}">
    <text xml:space="preserve">TNS JCP C22 Endline own calculation: mean daily wage rate for weeding
</text>
  </threadedComment>
  <threadedComment ref="H62" dT="2026-05-13T15:13:44.59" personId="{2553C6AA-EBD4-495E-AC20-95B3AB0088D0}" id="{E947B302-AD14-4A3E-A5A2-DE2EADC87099}">
    <text>For prices after 2025 we take the 5-year average coffee price from 2021-2025.</text>
  </threadedComment>
  <threadedComment ref="C63" dT="2026-05-13T15:12:28.13" personId="{2553C6AA-EBD4-495E-AC20-95B3AB0088D0}" id="{E9FDF798-F5FB-45B4-881B-F94F14785567}">
    <text xml:space="preserve"> 2021: C022 Baseline (p.47) </text>
  </threadedComment>
  <threadedComment ref="D63" dT="2026-05-13T15:12:44.92" personId="{2553C6AA-EBD4-495E-AC20-95B3AB0088D0}" id="{A43A194B-A24D-41A3-BC2D-A9DA20F2958B}">
    <text xml:space="preserve"> C2023 Baseline (p. ii)</text>
  </threadedComment>
  <threadedComment ref="E63" dT="2026-05-13T15:13:01.23" personId="{2553C6AA-EBD4-495E-AC20-95B3AB0088D0}" id="{5CCE1312-B902-48B0-B1A0-D5423882E54E}">
    <text>2023: EL C2022</text>
  </threadedComment>
  <threadedComment ref="F63" dT="2026-05-13T15:13:12.27" personId="{2553C6AA-EBD4-495E-AC20-95B3AB0088D0}" id="{7BAA60E4-F3C0-434C-B00B-2719307C20FA}">
    <text xml:space="preserve">Technoserve own data provided from Jimma region
</text>
  </threadedComment>
  <threadedComment ref="G63" dT="2026-05-13T15:13:26.75" personId="{2553C6AA-EBD4-495E-AC20-95B3AB0088D0}" id="{FA989498-E2E8-4A17-A488-18ACC7D11863}">
    <text>Zonal Agriculture (Department of Market Linkage) and the Zonal Trade Office</text>
  </threadedComment>
  <threadedComment ref="G63" dT="2026-06-08T08:14:36.18" personId="{2553C6AA-EBD4-495E-AC20-95B3AB0088D0}" id="{2E30645E-E515-4B78-AC31-E6760DBF77BE}" parentId="{FA989498-E2E8-4A17-A488-18ACC7D11863}">
    <text>To be updated with evaluation data</text>
  </threadedComment>
</ThreadedComments>
</file>

<file path=xl/threadedComments/threadedComment3.xml><?xml version="1.0" encoding="utf-8"?>
<ThreadedComments xmlns="http://schemas.microsoft.com/office/spreadsheetml/2018/threadedcomments" xmlns:x="http://schemas.openxmlformats.org/spreadsheetml/2006/main">
  <threadedComment ref="C6" dT="2025-07-03T08:34:55.53" personId="{2553C6AA-EBD4-495E-AC20-95B3AB0088D0}" id="{091E9335-EEC7-4E61-8429-F70C588A699A}">
    <text>Following UCAT, we assume a linear decay in farmers' practice adoption by 7.3% of the initial improvement per year; Share of HH adopting additional 2 BP = 34% 
Endline C22, p. 38</text>
  </threadedComment>
  <threadedComment ref="C16" dT="2025-07-03T08:34:55.53" personId="{2553C6AA-EBD4-495E-AC20-95B3AB0088D0}" id="{139F4E7C-E06E-445B-B894-0054E7D50D3C}">
    <text>Following UCAT, we assume a linear decay in farmers' practice adoption by 7.3% of the initial improvement per year; Share of HH adopting additional 2 BP = 34% 
Endline C22, p. 38</text>
  </threadedComment>
  <threadedComment ref="B35" dT="2026-05-13T15:38:51.69" personId="{2553C6AA-EBD4-495E-AC20-95B3AB0088D0}" id="{3CA3B62E-159B-41F7-B725-A6F0E063457E}">
    <text>CURRENTLY CONSIDERING SAME IMPACT AS C22 for GAP adoption, honey income and CWS impact</text>
  </threadedComment>
  <threadedComment ref="E46" dT="2025-08-13T10:21:09.35" personId="{2553C6AA-EBD4-495E-AC20-95B3AB0088D0}" id="{3FFD43D1-4214-43D4-AE83-D6FDDB7637F4}">
    <text>From Technoserve Stumping Verification Report</text>
  </threadedComment>
  <threadedComment ref="C98" dT="2026-02-04T14:00:55.68" personId="{2553C6AA-EBD4-495E-AC20-95B3AB0088D0}" id="{B2DC8CE6-344E-4700-B86E-34BBF3158FE2}">
    <text>If median annual household income is used the relative increase in household income is ~ 15%; Consumption is used as the primary benchmark as it better reflects living standards and is less sensitive to income underreporting. Income-based ratios are shown for completeness.</text>
  </threadedComment>
</ThreadedComments>
</file>

<file path=xl/threadedComments/threadedComment4.xml><?xml version="1.0" encoding="utf-8"?>
<ThreadedComments xmlns="http://schemas.microsoft.com/office/spreadsheetml/2018/threadedcomments" xmlns:x="http://schemas.openxmlformats.org/spreadsheetml/2006/main">
  <threadedComment ref="D9" dT="2026-08-07T12:05:07.15" personId="{2553C6AA-EBD4-495E-AC20-95B3AB0088D0}" id="{E401FEB9-D8FC-405D-A6C3-FFAD75F9462A}">
    <text>DG Target of 8500 divided by total outreach target 34000</text>
  </threadedComment>
  <threadedComment ref="B11" dT="2026-06-08T08:10:07.68" personId="{2553C6AA-EBD4-495E-AC20-95B3AB0088D0}" id="{CB0AD425-DBFF-49D9-BE5E-F0ADEDC3819B}">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E38" dT="2026-04-24T12:22:12.09" personId="{2553C6AA-EBD4-495E-AC20-95B3AB0088D0}" id="{52E00D29-78F4-4698-A5AE-32B33A39839B}">
    <text>The TNS03 Budget includes 15% indirect costs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7C999AC-20C4-4D5B-A14F-DD1B37A5C611}">
  <we:reference id="WA200010725" version="1.0.0.1" store="Omex" storeType="OMEX"/>
  <we:alternateReferences>
    <we:reference id="WA200010725" version="1.0.0.1" store="WA200010725" storeType="OMEX"/>
  </we:alternateReferences>
  <we:properties>
    <we:property name="claude.fileId" value="&quot;43609cbf-9624-4cbc-a698-0f5e9632271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ifpri.org/" TargetMode="External"/><Relationship Id="rId7" Type="http://schemas.openxmlformats.org/officeDocument/2006/relationships/comments" Target="../comments1.xml"/><Relationship Id="rId2" Type="http://schemas.openxmlformats.org/officeDocument/2006/relationships/hyperlink" Target="https://www.c4ed.org/" TargetMode="External"/><Relationship Id="rId1" Type="http://schemas.openxmlformats.org/officeDocument/2006/relationships/hyperlink" Target="https://www.technoserve.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herewegrow.org/wp-content/uploads/2026/01/HereWeGrow-C4ED-JCP-C2023_Baseline-Report_2024.pdf" TargetMode="External"/><Relationship Id="rId3" Type="http://schemas.openxmlformats.org/officeDocument/2006/relationships/hyperlink" Target="https://www.technoserve.org/wp-content/uploads/2017/04/triple-line-evaluation-of-the-coffee-initiative.pdf" TargetMode="External"/><Relationship Id="rId7" Type="http://schemas.openxmlformats.org/officeDocument/2006/relationships/hyperlink" Target="https://www.herewegrow.org/wp-content/uploads/2026/01/HereWeGrow-C4ED-JCP-C2023_Baseline-Report_2024.pdf" TargetMode="External"/><Relationship Id="rId12" Type="http://schemas.microsoft.com/office/2017/10/relationships/threadedComment" Target="../threadedComments/threadedComment2.xml"/><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 Type="http://schemas.openxmlformats.org/officeDocument/2006/relationships/hyperlink" Target="https://www.exchange-rates.org/exchange-rate-history/etb-eur-2021" TargetMode="External"/><Relationship Id="rId6" Type="http://schemas.openxmlformats.org/officeDocument/2006/relationships/hyperlink" Target="https://www.herewegrow.org/wp-content/uploads/2026/01/HereWeGrow-IFPRI-JCP-C2022_Endline-Report_2025.pdf" TargetMode="External"/><Relationship Id="rId11" Type="http://schemas.openxmlformats.org/officeDocument/2006/relationships/comments" Target="../comments2.xml"/><Relationship Id="rId5" Type="http://schemas.openxmlformats.org/officeDocument/2006/relationships/hyperlink" Target="https://www.herewegrow.org/wp-content/uploads/2026/01/HereWeGrow-IFPRI-JCP-C2022_Baseline-Report_2023.pdf" TargetMode="External"/><Relationship Id="rId10" Type="http://schemas.openxmlformats.org/officeDocument/2006/relationships/vmlDrawing" Target="../drawings/vmlDrawing2.vml"/><Relationship Id="rId4" Type="http://schemas.openxmlformats.org/officeDocument/2006/relationships/hyperlink" Target="https://www.herewegrow.org/wp-content/uploads/2026/04/HereWeGrow_IFPRI_Digital-Green_Baseline-Report_2024.pdf"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9730-FD73-4A62-978B-BFD8DB0AECF7}">
  <dimension ref="A1:L84"/>
  <sheetViews>
    <sheetView showGridLines="0" tabSelected="1" topLeftCell="B1" zoomScaleNormal="100" workbookViewId="0">
      <selection activeCell="C17" sqref="C17"/>
    </sheetView>
  </sheetViews>
  <sheetFormatPr baseColWidth="10" defaultColWidth="9.453125" defaultRowHeight="14.5" x14ac:dyDescent="0.35"/>
  <cols>
    <col min="1" max="1" width="4.453125" style="57" customWidth="1"/>
    <col min="2" max="2" width="29.54296875" style="57" customWidth="1"/>
    <col min="3" max="3" width="58" style="14" customWidth="1"/>
    <col min="4" max="4" width="16.453125" customWidth="1"/>
    <col min="5" max="5" width="10" customWidth="1"/>
    <col min="12" max="12" width="4.54296875" customWidth="1"/>
  </cols>
  <sheetData>
    <row r="1" spans="1:12" ht="20.25" customHeight="1" x14ac:dyDescent="0.35">
      <c r="A1" s="15"/>
      <c r="B1" s="16"/>
      <c r="C1" s="17"/>
      <c r="D1" s="18"/>
      <c r="E1" s="18"/>
      <c r="F1" s="18"/>
      <c r="G1" s="18"/>
      <c r="H1" s="18"/>
      <c r="I1" s="18"/>
      <c r="J1" s="18"/>
      <c r="K1" s="18"/>
      <c r="L1" s="19"/>
    </row>
    <row r="2" spans="1:12" ht="24.75" customHeight="1" x14ac:dyDescent="0.4">
      <c r="A2" s="20"/>
      <c r="B2" s="21" t="s">
        <v>0</v>
      </c>
      <c r="C2" s="22" t="s">
        <v>1</v>
      </c>
      <c r="D2" s="23"/>
      <c r="E2" s="24"/>
      <c r="F2" s="24"/>
      <c r="G2" s="24"/>
      <c r="H2" s="24"/>
      <c r="I2" s="24"/>
      <c r="J2" s="24"/>
      <c r="K2" s="24"/>
      <c r="L2" s="25"/>
    </row>
    <row r="3" spans="1:12" ht="16.5" customHeight="1" x14ac:dyDescent="0.35">
      <c r="A3" s="24"/>
      <c r="B3" s="24"/>
      <c r="C3" s="24"/>
      <c r="D3" s="24"/>
      <c r="E3" s="24"/>
      <c r="F3" s="24"/>
      <c r="G3" s="24"/>
      <c r="H3" s="24"/>
      <c r="I3" s="24"/>
      <c r="J3" s="24"/>
      <c r="K3" s="24"/>
      <c r="L3" s="25"/>
    </row>
    <row r="4" spans="1:12" ht="18" x14ac:dyDescent="0.4">
      <c r="A4" s="29"/>
      <c r="B4" s="30" t="s">
        <v>2</v>
      </c>
      <c r="C4" s="31"/>
      <c r="D4" s="12"/>
      <c r="E4" s="197"/>
      <c r="F4" s="197"/>
      <c r="G4" s="197"/>
      <c r="H4" s="197"/>
      <c r="I4" s="32"/>
      <c r="J4" s="32"/>
      <c r="K4" s="32"/>
      <c r="L4" s="33"/>
    </row>
    <row r="5" spans="1:12" ht="9.65" customHeight="1" x14ac:dyDescent="0.4">
      <c r="A5" s="198"/>
      <c r="B5" s="34"/>
      <c r="C5" s="35"/>
      <c r="D5" s="36"/>
      <c r="E5" s="199"/>
      <c r="F5" s="199"/>
      <c r="G5" s="199"/>
      <c r="H5" s="199"/>
      <c r="I5" s="24"/>
      <c r="J5" s="24"/>
      <c r="K5" s="24"/>
      <c r="L5" s="25"/>
    </row>
    <row r="6" spans="1:12" ht="18" x14ac:dyDescent="0.4">
      <c r="A6" s="198"/>
      <c r="B6" s="37" t="s">
        <v>3</v>
      </c>
      <c r="C6" s="200" t="s">
        <v>1</v>
      </c>
      <c r="D6" s="38"/>
      <c r="E6" s="199"/>
      <c r="F6" s="199"/>
      <c r="G6" s="199"/>
      <c r="H6" s="199"/>
      <c r="I6" s="24"/>
      <c r="J6" s="24"/>
      <c r="K6" s="24"/>
      <c r="L6" s="25"/>
    </row>
    <row r="7" spans="1:12" x14ac:dyDescent="0.35">
      <c r="A7" s="198"/>
      <c r="B7" s="39" t="s">
        <v>4</v>
      </c>
      <c r="C7" s="40" t="s">
        <v>5</v>
      </c>
      <c r="D7" s="201"/>
      <c r="E7" s="199"/>
      <c r="F7" s="199"/>
      <c r="G7" s="199"/>
      <c r="H7" s="199"/>
      <c r="I7" s="24"/>
      <c r="J7" s="24"/>
      <c r="K7" s="24"/>
      <c r="L7" s="25"/>
    </row>
    <row r="8" spans="1:12" x14ac:dyDescent="0.35">
      <c r="A8" s="198"/>
      <c r="B8" s="39" t="s">
        <v>6</v>
      </c>
      <c r="C8" s="41" t="s">
        <v>7</v>
      </c>
      <c r="D8" s="41" t="s">
        <v>8</v>
      </c>
      <c r="E8" s="199"/>
      <c r="F8" s="199"/>
      <c r="G8" s="199"/>
      <c r="H8" s="199"/>
      <c r="I8" s="24"/>
      <c r="J8" s="24"/>
      <c r="K8" s="24"/>
      <c r="L8" s="25"/>
    </row>
    <row r="9" spans="1:12" x14ac:dyDescent="0.35">
      <c r="A9" s="198"/>
      <c r="B9" s="39" t="s">
        <v>9</v>
      </c>
      <c r="C9" s="200" t="s">
        <v>10</v>
      </c>
      <c r="D9" s="201"/>
      <c r="E9" s="199"/>
      <c r="F9" s="199"/>
      <c r="G9" s="199"/>
      <c r="H9" s="199"/>
      <c r="I9" s="24"/>
      <c r="J9" s="24"/>
      <c r="K9" s="24"/>
      <c r="L9" s="25"/>
    </row>
    <row r="10" spans="1:12" x14ac:dyDescent="0.35">
      <c r="A10" s="198"/>
      <c r="B10" s="39" t="s">
        <v>11</v>
      </c>
      <c r="C10" s="200" t="s">
        <v>12</v>
      </c>
      <c r="D10" s="201"/>
      <c r="E10" s="199"/>
      <c r="F10" s="199"/>
      <c r="G10" s="199"/>
      <c r="H10" s="199"/>
      <c r="I10" s="24"/>
      <c r="J10" s="24"/>
      <c r="K10" s="24"/>
      <c r="L10" s="25"/>
    </row>
    <row r="11" spans="1:12" x14ac:dyDescent="0.35">
      <c r="A11" s="198"/>
      <c r="B11" s="39" t="s">
        <v>13</v>
      </c>
      <c r="C11" s="202" t="s">
        <v>14</v>
      </c>
      <c r="D11" s="201"/>
      <c r="E11" s="199"/>
      <c r="F11" s="199"/>
      <c r="G11" s="199"/>
      <c r="H11" s="199"/>
      <c r="I11" s="24"/>
      <c r="J11" s="24"/>
      <c r="K11" s="24"/>
      <c r="L11" s="25"/>
    </row>
    <row r="12" spans="1:12" ht="43.5" x14ac:dyDescent="0.35">
      <c r="A12" s="198"/>
      <c r="B12" s="39" t="s">
        <v>15</v>
      </c>
      <c r="C12" s="203" t="s">
        <v>16</v>
      </c>
      <c r="D12" s="201"/>
      <c r="E12" s="199"/>
      <c r="F12" s="199"/>
      <c r="G12" s="199"/>
      <c r="H12" s="199"/>
      <c r="I12" s="24"/>
      <c r="J12" s="24"/>
      <c r="K12" s="24"/>
      <c r="L12" s="25"/>
    </row>
    <row r="13" spans="1:12" x14ac:dyDescent="0.35">
      <c r="A13" s="198"/>
      <c r="B13" s="39" t="s">
        <v>17</v>
      </c>
      <c r="C13" s="204">
        <f>SUM(SROI!D83:H83)</f>
        <v>3811777.69</v>
      </c>
      <c r="D13" s="201"/>
      <c r="E13" s="199"/>
      <c r="F13" s="199"/>
      <c r="G13" s="199"/>
      <c r="H13" s="199"/>
      <c r="I13" s="24"/>
      <c r="J13" s="24"/>
      <c r="K13" s="24"/>
      <c r="L13" s="25"/>
    </row>
    <row r="14" spans="1:12" x14ac:dyDescent="0.35">
      <c r="A14" s="198"/>
      <c r="B14" s="39" t="s">
        <v>18</v>
      </c>
      <c r="C14" s="205" t="s">
        <v>19</v>
      </c>
      <c r="D14" s="201"/>
      <c r="E14" s="199"/>
      <c r="F14" s="199"/>
      <c r="G14" s="199"/>
      <c r="H14" s="199"/>
      <c r="I14" s="24"/>
      <c r="J14" s="24"/>
      <c r="K14" s="24"/>
      <c r="L14" s="25"/>
    </row>
    <row r="15" spans="1:12" x14ac:dyDescent="0.35">
      <c r="A15" s="198"/>
      <c r="B15" s="39" t="s">
        <v>20</v>
      </c>
      <c r="C15" s="206">
        <v>46235</v>
      </c>
      <c r="D15" s="201" t="s">
        <v>252</v>
      </c>
      <c r="E15" s="199"/>
      <c r="F15" s="199"/>
      <c r="G15" s="199"/>
      <c r="H15" s="199"/>
      <c r="I15" s="24"/>
      <c r="J15" s="24"/>
      <c r="K15" s="24"/>
      <c r="L15" s="25"/>
    </row>
    <row r="16" spans="1:12" x14ac:dyDescent="0.35">
      <c r="A16" s="198"/>
      <c r="B16" s="39" t="s">
        <v>21</v>
      </c>
      <c r="C16" s="206" t="s">
        <v>22</v>
      </c>
      <c r="D16" s="201"/>
      <c r="E16" s="199"/>
      <c r="F16" s="199"/>
      <c r="G16" s="199"/>
      <c r="H16" s="199"/>
      <c r="I16" s="24"/>
      <c r="J16" s="24"/>
      <c r="K16" s="24"/>
      <c r="L16" s="25"/>
    </row>
    <row r="17" spans="1:12" ht="42" customHeight="1" x14ac:dyDescent="0.35">
      <c r="A17" s="198"/>
      <c r="B17" s="42"/>
      <c r="C17" s="207"/>
      <c r="D17" s="199"/>
      <c r="E17" s="199"/>
      <c r="F17" s="199"/>
      <c r="G17" s="199"/>
      <c r="H17" s="199"/>
      <c r="I17" s="24"/>
      <c r="J17" s="24"/>
      <c r="K17" s="24"/>
      <c r="L17" s="25"/>
    </row>
    <row r="18" spans="1:12" ht="18" x14ac:dyDescent="0.4">
      <c r="A18" s="29"/>
      <c r="B18" s="30" t="s">
        <v>23</v>
      </c>
      <c r="C18" s="31"/>
      <c r="D18" s="12"/>
      <c r="E18" s="12"/>
      <c r="F18" s="12"/>
      <c r="G18" s="12"/>
      <c r="H18" s="12"/>
      <c r="I18" s="12"/>
      <c r="J18" s="12"/>
      <c r="K18" s="12"/>
      <c r="L18" s="43"/>
    </row>
    <row r="19" spans="1:12" ht="18" x14ac:dyDescent="0.4">
      <c r="A19" s="44"/>
      <c r="B19" s="34"/>
      <c r="C19" s="35"/>
      <c r="D19" s="36"/>
      <c r="E19" s="199"/>
      <c r="F19" s="199"/>
      <c r="G19" s="199"/>
      <c r="H19" s="199"/>
      <c r="I19" s="24"/>
      <c r="J19" s="24"/>
      <c r="K19" s="24"/>
      <c r="L19" s="25"/>
    </row>
    <row r="20" spans="1:12" ht="28.5" x14ac:dyDescent="0.35">
      <c r="A20" s="45"/>
      <c r="B20" s="171" t="s">
        <v>24</v>
      </c>
      <c r="C20" s="172">
        <f>SROI!C102</f>
        <v>5.5117630074106332</v>
      </c>
      <c r="D20" s="24"/>
      <c r="E20" s="199"/>
      <c r="F20" s="199"/>
      <c r="G20" s="199"/>
      <c r="H20" s="199"/>
      <c r="I20" s="24"/>
      <c r="J20" s="24"/>
      <c r="K20" s="24"/>
      <c r="L20" s="25"/>
    </row>
    <row r="21" spans="1:12" x14ac:dyDescent="0.35">
      <c r="A21" s="46"/>
      <c r="B21" s="39" t="s">
        <v>25</v>
      </c>
      <c r="C21" s="200" t="s">
        <v>26</v>
      </c>
      <c r="D21" s="199"/>
      <c r="E21" s="199"/>
      <c r="F21" s="199"/>
      <c r="G21" s="199"/>
      <c r="H21" s="199"/>
      <c r="I21" s="24"/>
      <c r="J21" s="24"/>
      <c r="K21" s="24"/>
      <c r="L21" s="25"/>
    </row>
    <row r="22" spans="1:12" x14ac:dyDescent="0.35">
      <c r="A22" s="46"/>
      <c r="B22" s="39" t="s">
        <v>27</v>
      </c>
      <c r="C22" s="200" t="s">
        <v>28</v>
      </c>
      <c r="D22" s="24"/>
      <c r="E22" s="199"/>
      <c r="F22" s="199"/>
      <c r="G22" s="199"/>
      <c r="H22" s="199"/>
      <c r="I22" s="24"/>
      <c r="J22" s="24"/>
      <c r="K22" s="24"/>
      <c r="L22" s="25"/>
    </row>
    <row r="23" spans="1:12" ht="18" x14ac:dyDescent="0.35">
      <c r="A23" s="46"/>
      <c r="B23" s="313" t="s">
        <v>29</v>
      </c>
      <c r="C23" s="314"/>
      <c r="D23" s="24"/>
      <c r="E23" s="199"/>
      <c r="F23" s="199"/>
      <c r="G23" s="199"/>
      <c r="H23" s="199"/>
      <c r="I23" s="24"/>
      <c r="J23" s="24"/>
      <c r="K23" s="24"/>
      <c r="L23" s="25"/>
    </row>
    <row r="24" spans="1:12" ht="40.5" x14ac:dyDescent="0.35">
      <c r="A24" s="46"/>
      <c r="B24" s="174" t="s">
        <v>30</v>
      </c>
      <c r="C24" s="208" t="s">
        <v>31</v>
      </c>
      <c r="D24" s="24"/>
      <c r="E24" s="199"/>
      <c r="F24" s="199"/>
      <c r="G24" s="199"/>
      <c r="H24" s="199"/>
      <c r="I24" s="24"/>
      <c r="J24" s="24"/>
      <c r="K24" s="24"/>
      <c r="L24" s="25"/>
    </row>
    <row r="25" spans="1:12" x14ac:dyDescent="0.35">
      <c r="A25" s="46"/>
      <c r="B25" s="173" t="s">
        <v>32</v>
      </c>
      <c r="C25" s="209">
        <f>MIN('Sensitivity Analysis'!R20:T25)</f>
        <v>2.46091316939098</v>
      </c>
      <c r="D25" s="24"/>
      <c r="E25" s="199"/>
      <c r="F25" s="199"/>
      <c r="G25" s="199"/>
      <c r="H25" s="199"/>
      <c r="I25" s="24"/>
      <c r="J25" s="24"/>
      <c r="K25" s="24"/>
      <c r="L25" s="25"/>
    </row>
    <row r="26" spans="1:12" x14ac:dyDescent="0.35">
      <c r="A26" s="46"/>
      <c r="B26" s="173" t="s">
        <v>33</v>
      </c>
      <c r="C26" s="209">
        <f>MAX('Sensitivity Analysis'!R20:T25)</f>
        <v>5.5117630074106332</v>
      </c>
      <c r="D26" s="24"/>
      <c r="E26" s="199"/>
      <c r="F26" s="199"/>
      <c r="G26" s="199"/>
      <c r="H26" s="199"/>
      <c r="I26" s="24"/>
      <c r="J26" s="24"/>
      <c r="K26" s="24"/>
      <c r="L26" s="25"/>
    </row>
    <row r="27" spans="1:12" ht="24.75" customHeight="1" x14ac:dyDescent="0.4">
      <c r="A27" s="44"/>
      <c r="B27" s="34"/>
      <c r="D27" s="36"/>
      <c r="E27" s="199"/>
      <c r="F27" s="199"/>
      <c r="G27" s="199"/>
      <c r="H27" s="199"/>
      <c r="I27" s="24"/>
      <c r="J27" s="24"/>
      <c r="K27" s="24"/>
      <c r="L27" s="25"/>
    </row>
    <row r="28" spans="1:12" ht="18" x14ac:dyDescent="0.4">
      <c r="A28" s="29"/>
      <c r="B28" s="30" t="s">
        <v>34</v>
      </c>
      <c r="C28" s="12"/>
      <c r="D28" s="12"/>
      <c r="E28" s="197"/>
      <c r="F28" s="197"/>
      <c r="G28" s="197"/>
      <c r="H28" s="197"/>
      <c r="I28" s="32"/>
      <c r="J28" s="32"/>
      <c r="K28" s="32"/>
      <c r="L28" s="33"/>
    </row>
    <row r="29" spans="1:12" ht="18" x14ac:dyDescent="0.4">
      <c r="A29" s="44"/>
      <c r="B29" s="34"/>
      <c r="C29" s="35"/>
      <c r="D29" s="36"/>
      <c r="E29" s="199"/>
      <c r="F29" s="199"/>
      <c r="G29" s="199"/>
      <c r="H29" s="199"/>
      <c r="I29" s="24"/>
      <c r="J29" s="24"/>
      <c r="K29" s="24"/>
      <c r="L29" s="25"/>
    </row>
    <row r="30" spans="1:12" ht="58" x14ac:dyDescent="0.35">
      <c r="A30" s="46"/>
      <c r="B30" s="39" t="s">
        <v>35</v>
      </c>
      <c r="C30" s="200" t="s">
        <v>36</v>
      </c>
      <c r="D30" s="199"/>
      <c r="E30" s="199"/>
      <c r="F30" s="199"/>
      <c r="G30" s="199"/>
      <c r="H30" s="199"/>
      <c r="I30" s="24"/>
      <c r="J30" s="24"/>
      <c r="K30" s="24"/>
      <c r="L30" s="25"/>
    </row>
    <row r="31" spans="1:12" x14ac:dyDescent="0.35">
      <c r="A31" s="46"/>
      <c r="B31" s="39" t="s">
        <v>37</v>
      </c>
      <c r="C31" s="200" t="s">
        <v>38</v>
      </c>
      <c r="D31" s="199"/>
      <c r="E31" s="199"/>
      <c r="F31" s="199"/>
      <c r="G31" s="199"/>
      <c r="H31" s="199"/>
      <c r="I31" s="24"/>
      <c r="J31" s="24"/>
      <c r="K31" s="24"/>
      <c r="L31" s="25"/>
    </row>
    <row r="32" spans="1:12" x14ac:dyDescent="0.35">
      <c r="A32" s="46"/>
      <c r="B32" s="39" t="s">
        <v>39</v>
      </c>
      <c r="C32" s="200" t="s">
        <v>40</v>
      </c>
      <c r="D32" s="199"/>
      <c r="E32" s="199"/>
      <c r="F32" s="199"/>
      <c r="G32" s="199"/>
      <c r="H32" s="199"/>
      <c r="I32" s="24"/>
      <c r="J32" s="24"/>
      <c r="K32" s="24"/>
      <c r="L32" s="25"/>
    </row>
    <row r="33" spans="1:12" x14ac:dyDescent="0.35">
      <c r="A33" s="46"/>
      <c r="B33" s="39" t="s">
        <v>41</v>
      </c>
      <c r="C33" s="200" t="s">
        <v>42</v>
      </c>
      <c r="D33" s="199"/>
      <c r="E33" s="199"/>
      <c r="F33" s="199"/>
      <c r="G33" s="199"/>
      <c r="H33" s="199"/>
      <c r="I33" s="24"/>
      <c r="J33" s="24"/>
      <c r="K33" s="24"/>
      <c r="L33" s="25"/>
    </row>
    <row r="34" spans="1:12" x14ac:dyDescent="0.35">
      <c r="A34" s="46"/>
      <c r="B34" s="39"/>
      <c r="C34" s="200" t="s">
        <v>43</v>
      </c>
      <c r="D34" s="199"/>
      <c r="E34" s="199"/>
      <c r="F34" s="199"/>
      <c r="G34" s="199"/>
      <c r="H34" s="199"/>
      <c r="I34" s="24"/>
      <c r="J34" s="24"/>
      <c r="K34" s="24"/>
      <c r="L34" s="25"/>
    </row>
    <row r="35" spans="1:12" x14ac:dyDescent="0.35">
      <c r="A35" s="46"/>
      <c r="B35" s="39" t="s">
        <v>44</v>
      </c>
      <c r="C35" s="200" t="s">
        <v>45</v>
      </c>
      <c r="D35" s="199"/>
      <c r="E35" s="199"/>
      <c r="F35" s="199"/>
      <c r="G35" s="199"/>
      <c r="H35" s="199"/>
      <c r="I35" s="24"/>
      <c r="J35" s="24"/>
      <c r="K35" s="24"/>
      <c r="L35" s="25"/>
    </row>
    <row r="36" spans="1:12" x14ac:dyDescent="0.35">
      <c r="A36" s="46"/>
      <c r="B36" s="39" t="s">
        <v>46</v>
      </c>
      <c r="C36" s="200" t="s">
        <v>47</v>
      </c>
      <c r="D36" s="199"/>
      <c r="E36" s="199"/>
      <c r="F36" s="199"/>
      <c r="G36" s="199"/>
      <c r="H36" s="199"/>
      <c r="I36" s="24"/>
      <c r="J36" s="24"/>
      <c r="K36" s="24"/>
      <c r="L36" s="25"/>
    </row>
    <row r="37" spans="1:12" x14ac:dyDescent="0.35">
      <c r="A37" s="210"/>
      <c r="B37" s="211"/>
      <c r="C37" s="207"/>
      <c r="D37" s="199"/>
      <c r="E37" s="199"/>
      <c r="F37" s="199"/>
      <c r="G37" s="199"/>
      <c r="H37" s="199"/>
      <c r="I37" s="24"/>
      <c r="J37" s="24"/>
      <c r="K37" s="24"/>
      <c r="L37" s="25"/>
    </row>
    <row r="38" spans="1:12" ht="18" x14ac:dyDescent="0.4">
      <c r="A38" s="29"/>
      <c r="B38" s="30" t="s">
        <v>48</v>
      </c>
      <c r="C38" s="31"/>
      <c r="D38" s="12"/>
      <c r="E38" s="197"/>
      <c r="F38" s="197"/>
      <c r="G38" s="197"/>
      <c r="H38" s="197"/>
      <c r="I38" s="32"/>
      <c r="J38" s="32"/>
      <c r="K38" s="32"/>
      <c r="L38" s="33"/>
    </row>
    <row r="39" spans="1:12" ht="9" customHeight="1" x14ac:dyDescent="0.4">
      <c r="A39" s="44"/>
      <c r="B39" s="34"/>
      <c r="C39" s="35"/>
      <c r="D39" s="36"/>
      <c r="E39" s="199"/>
      <c r="F39" s="199"/>
      <c r="G39" s="199"/>
      <c r="H39" s="199"/>
      <c r="I39" s="24"/>
      <c r="J39" s="24"/>
      <c r="K39" s="24"/>
      <c r="L39" s="25"/>
    </row>
    <row r="40" spans="1:12" ht="86.15" customHeight="1" x14ac:dyDescent="0.35">
      <c r="A40" s="46"/>
      <c r="B40" s="81" t="s">
        <v>49</v>
      </c>
      <c r="C40" s="317" t="s">
        <v>50</v>
      </c>
      <c r="D40" s="318"/>
      <c r="E40" s="318"/>
      <c r="F40" s="318"/>
      <c r="G40" s="318"/>
      <c r="H40" s="318"/>
      <c r="I40" s="318"/>
      <c r="J40" s="318"/>
      <c r="K40" s="319"/>
      <c r="L40" s="25"/>
    </row>
    <row r="41" spans="1:12" ht="75" customHeight="1" x14ac:dyDescent="0.35">
      <c r="A41" s="46"/>
      <c r="B41" s="81" t="s">
        <v>51</v>
      </c>
      <c r="C41" s="317" t="s">
        <v>52</v>
      </c>
      <c r="D41" s="318"/>
      <c r="E41" s="320"/>
      <c r="F41" s="320"/>
      <c r="G41" s="320"/>
      <c r="H41" s="320"/>
      <c r="I41" s="320"/>
      <c r="J41" s="320"/>
      <c r="K41" s="321"/>
      <c r="L41" s="25"/>
    </row>
    <row r="42" spans="1:12" ht="84" customHeight="1" x14ac:dyDescent="0.35">
      <c r="A42" s="46"/>
      <c r="B42" s="39" t="s">
        <v>53</v>
      </c>
      <c r="C42" s="317" t="s">
        <v>54</v>
      </c>
      <c r="D42" s="318"/>
      <c r="E42" s="320"/>
      <c r="F42" s="320"/>
      <c r="G42" s="320"/>
      <c r="H42" s="320"/>
      <c r="I42" s="320"/>
      <c r="J42" s="320"/>
      <c r="K42" s="321"/>
      <c r="L42" s="25"/>
    </row>
    <row r="43" spans="1:12" x14ac:dyDescent="0.35">
      <c r="A43" s="47"/>
      <c r="B43" s="48"/>
      <c r="C43" s="28"/>
      <c r="D43" s="24"/>
      <c r="E43" s="24"/>
      <c r="F43" s="24"/>
      <c r="G43" s="24"/>
      <c r="H43" s="24"/>
      <c r="I43" s="24"/>
      <c r="J43" s="24"/>
      <c r="K43" s="24"/>
      <c r="L43" s="25"/>
    </row>
    <row r="44" spans="1:12" ht="18" x14ac:dyDescent="0.4">
      <c r="A44" s="29"/>
      <c r="B44" s="30" t="s">
        <v>55</v>
      </c>
      <c r="C44" s="31"/>
      <c r="D44" s="12"/>
      <c r="E44" s="197"/>
      <c r="F44" s="197"/>
      <c r="G44" s="197"/>
      <c r="H44" s="197"/>
      <c r="I44" s="32"/>
      <c r="J44" s="32"/>
      <c r="K44" s="32"/>
      <c r="L44" s="33"/>
    </row>
    <row r="45" spans="1:12" x14ac:dyDescent="0.35">
      <c r="A45" s="47"/>
      <c r="B45" s="48"/>
      <c r="C45" s="28"/>
      <c r="D45" s="24"/>
      <c r="E45" s="24"/>
      <c r="F45" s="24"/>
      <c r="G45" s="24"/>
      <c r="H45" s="24"/>
      <c r="I45" s="24"/>
      <c r="J45" s="24"/>
      <c r="K45" s="24"/>
      <c r="L45" s="25"/>
    </row>
    <row r="46" spans="1:12" x14ac:dyDescent="0.35">
      <c r="A46" s="47"/>
      <c r="B46" s="48"/>
      <c r="C46" s="28"/>
      <c r="D46" s="24"/>
      <c r="F46" t="s">
        <v>56</v>
      </c>
      <c r="G46" t="s">
        <v>57</v>
      </c>
      <c r="H46" s="24"/>
      <c r="I46" s="24"/>
      <c r="J46" s="24"/>
      <c r="K46" s="24"/>
      <c r="L46" s="25"/>
    </row>
    <row r="47" spans="1:12" x14ac:dyDescent="0.35">
      <c r="A47" s="47"/>
      <c r="B47" s="48"/>
      <c r="C47" s="28"/>
      <c r="D47" s="49"/>
      <c r="E47" t="s">
        <v>58</v>
      </c>
      <c r="F47" s="11">
        <f>SUM(SROI!D12:M12)</f>
        <v>57.452779625376351</v>
      </c>
      <c r="G47" s="11">
        <f>SUM(SROI!D45:M45)</f>
        <v>83.876694620106022</v>
      </c>
      <c r="H47" s="24"/>
      <c r="I47" s="24"/>
      <c r="J47" s="24"/>
      <c r="K47" s="24"/>
      <c r="L47" s="25"/>
    </row>
    <row r="48" spans="1:12" x14ac:dyDescent="0.35">
      <c r="A48" s="50"/>
      <c r="B48" t="s">
        <v>59</v>
      </c>
      <c r="C48" s="58">
        <f>SROI!C94</f>
        <v>706.87078581743481</v>
      </c>
      <c r="D48" s="49"/>
      <c r="E48" t="s">
        <v>60</v>
      </c>
      <c r="F48" s="11">
        <f>SUM(SROI!D21:M21)</f>
        <v>524.65395818684442</v>
      </c>
      <c r="G48" s="11">
        <f>SUM(SROI!D55:M55)</f>
        <v>408.88769950285473</v>
      </c>
      <c r="H48" s="24"/>
      <c r="I48" s="24"/>
      <c r="J48" s="24"/>
      <c r="K48" s="24"/>
      <c r="L48" s="25"/>
    </row>
    <row r="49" spans="1:12" x14ac:dyDescent="0.35">
      <c r="A49" s="50"/>
      <c r="B49" t="s">
        <v>61</v>
      </c>
      <c r="C49" s="58">
        <f>SROI!C95</f>
        <v>557.07453059431293</v>
      </c>
      <c r="D49" s="49"/>
      <c r="E49" t="s">
        <v>62</v>
      </c>
      <c r="F49" s="11">
        <f>SUM(SROI!D25:M25)</f>
        <v>16.478189628733077</v>
      </c>
      <c r="G49" s="11">
        <f>SUM(SROI!D60:M60)</f>
        <v>12.357137682819316</v>
      </c>
      <c r="H49" s="24"/>
      <c r="I49" s="24"/>
      <c r="J49" s="24"/>
      <c r="K49" s="24"/>
      <c r="L49" s="25"/>
    </row>
    <row r="50" spans="1:12" x14ac:dyDescent="0.35">
      <c r="A50" s="50"/>
      <c r="B50" t="s">
        <v>63</v>
      </c>
      <c r="C50" s="58">
        <f>SROI!C96</f>
        <v>607.41931080396273</v>
      </c>
      <c r="D50" s="49"/>
      <c r="E50" s="212" t="s">
        <v>64</v>
      </c>
      <c r="F50" s="11">
        <f>SUM(SROI!D30:M30)</f>
        <v>108.28585837648107</v>
      </c>
      <c r="G50" s="11">
        <f>SUM(SROI!D66:M66)</f>
        <v>51.952998788532881</v>
      </c>
      <c r="H50" s="24"/>
      <c r="I50" s="24"/>
      <c r="J50" s="24"/>
      <c r="K50" s="24"/>
      <c r="L50" s="25"/>
    </row>
    <row r="51" spans="1:12" x14ac:dyDescent="0.35">
      <c r="A51" s="47"/>
      <c r="B51" t="s">
        <v>65</v>
      </c>
      <c r="C51" s="58">
        <f>SROI!C88</f>
        <v>110.20417786237907</v>
      </c>
      <c r="D51" s="24"/>
      <c r="F51" s="11">
        <f>SUM(F48:F50)</f>
        <v>649.41800619205856</v>
      </c>
      <c r="G51" s="11">
        <f>SUM(G48:G50)</f>
        <v>473.1978359742069</v>
      </c>
      <c r="H51" s="24"/>
      <c r="I51" s="24"/>
      <c r="J51" s="24"/>
      <c r="K51" s="24"/>
      <c r="L51" s="25"/>
    </row>
    <row r="52" spans="1:12" x14ac:dyDescent="0.35">
      <c r="A52" s="47"/>
      <c r="B52" s="48" t="s">
        <v>66</v>
      </c>
      <c r="C52" s="76">
        <f>C50-C51</f>
        <v>497.21513294158365</v>
      </c>
      <c r="D52" s="24"/>
      <c r="E52" s="24"/>
      <c r="F52" s="24"/>
      <c r="G52" s="24"/>
      <c r="H52" s="24"/>
      <c r="I52" s="24"/>
      <c r="J52" s="24"/>
      <c r="K52" s="24"/>
      <c r="L52" s="25"/>
    </row>
    <row r="53" spans="1:12" x14ac:dyDescent="0.35">
      <c r="A53" s="26"/>
      <c r="B53" s="27"/>
      <c r="C53" s="28"/>
      <c r="D53" s="24"/>
      <c r="E53" s="24"/>
      <c r="F53" s="24"/>
      <c r="G53" s="24"/>
      <c r="H53" s="24"/>
      <c r="I53" s="24"/>
      <c r="J53" s="24"/>
      <c r="K53" s="24"/>
      <c r="L53" s="25"/>
    </row>
    <row r="54" spans="1:12" x14ac:dyDescent="0.35">
      <c r="A54" s="26"/>
      <c r="B54" s="27"/>
      <c r="C54" s="28"/>
      <c r="D54" s="24"/>
      <c r="E54" s="24"/>
      <c r="F54" s="24"/>
      <c r="G54" s="24"/>
      <c r="H54" s="24"/>
      <c r="J54" s="24"/>
      <c r="K54" s="24"/>
      <c r="L54" s="25"/>
    </row>
    <row r="55" spans="1:12" x14ac:dyDescent="0.35">
      <c r="A55" s="26"/>
      <c r="B55" s="27"/>
      <c r="C55" s="28"/>
      <c r="D55" s="24"/>
      <c r="E55" s="24"/>
      <c r="F55" s="24"/>
      <c r="G55" s="24"/>
      <c r="H55" s="24"/>
      <c r="I55" s="24"/>
      <c r="J55" s="24"/>
      <c r="K55" s="24"/>
      <c r="L55" s="25"/>
    </row>
    <row r="56" spans="1:12" x14ac:dyDescent="0.35">
      <c r="A56" s="26"/>
      <c r="B56" s="27"/>
      <c r="C56" s="28"/>
      <c r="D56" s="24"/>
      <c r="E56" s="24"/>
      <c r="F56" s="24"/>
      <c r="G56" s="24"/>
      <c r="H56" s="24"/>
      <c r="I56" s="24"/>
      <c r="J56" s="24"/>
      <c r="K56" s="24"/>
      <c r="L56" s="25"/>
    </row>
    <row r="57" spans="1:12" x14ac:dyDescent="0.35">
      <c r="A57" s="26"/>
      <c r="B57" s="27"/>
      <c r="C57" s="28"/>
      <c r="D57" s="24"/>
      <c r="E57" s="24"/>
      <c r="F57" s="24"/>
      <c r="G57" s="24"/>
      <c r="H57" s="24"/>
      <c r="I57" s="24"/>
      <c r="J57" s="24"/>
      <c r="K57" s="24"/>
      <c r="L57" s="25"/>
    </row>
    <row r="58" spans="1:12" x14ac:dyDescent="0.35">
      <c r="A58" s="26"/>
      <c r="B58" s="27"/>
      <c r="C58" s="28"/>
      <c r="D58" s="24"/>
      <c r="E58" s="24"/>
      <c r="F58" s="24"/>
      <c r="G58" s="24"/>
      <c r="H58" s="24"/>
      <c r="I58" s="24"/>
      <c r="J58" s="24"/>
      <c r="K58" s="24"/>
      <c r="L58" s="25"/>
    </row>
    <row r="59" spans="1:12" x14ac:dyDescent="0.35">
      <c r="A59" s="26"/>
      <c r="B59" s="27"/>
      <c r="C59" s="28"/>
      <c r="D59" s="24"/>
      <c r="E59" s="24"/>
      <c r="F59" s="24"/>
      <c r="G59" s="24"/>
      <c r="H59" s="24"/>
      <c r="I59" s="24"/>
      <c r="J59" s="24"/>
      <c r="K59" s="24"/>
      <c r="L59" s="25"/>
    </row>
    <row r="60" spans="1:12" x14ac:dyDescent="0.35">
      <c r="A60" s="26"/>
      <c r="B60" s="27"/>
      <c r="C60" s="28"/>
      <c r="D60" s="24"/>
      <c r="E60" s="24"/>
      <c r="F60" s="24"/>
      <c r="G60" s="24"/>
      <c r="H60" s="24"/>
      <c r="I60" s="24"/>
      <c r="J60" s="24"/>
      <c r="K60" s="24"/>
      <c r="L60" s="25"/>
    </row>
    <row r="61" spans="1:12" x14ac:dyDescent="0.35">
      <c r="A61" s="26"/>
      <c r="B61" s="27"/>
      <c r="C61" s="28"/>
      <c r="D61" s="24"/>
      <c r="E61" s="24"/>
      <c r="F61" s="24"/>
      <c r="G61" s="24"/>
      <c r="H61" s="24"/>
      <c r="I61" s="24"/>
      <c r="J61" s="24"/>
      <c r="K61" s="24"/>
      <c r="L61" s="25"/>
    </row>
    <row r="62" spans="1:12" x14ac:dyDescent="0.35">
      <c r="A62" s="26"/>
      <c r="B62" s="27"/>
      <c r="C62" s="28"/>
      <c r="D62" s="24"/>
      <c r="E62" s="24"/>
      <c r="F62" s="24"/>
      <c r="G62" s="24"/>
      <c r="H62" s="24"/>
      <c r="I62" s="24"/>
      <c r="J62" s="24"/>
      <c r="K62" s="24"/>
      <c r="L62" s="25"/>
    </row>
    <row r="63" spans="1:12" x14ac:dyDescent="0.35">
      <c r="A63" s="26"/>
      <c r="B63" s="27"/>
      <c r="C63" s="28"/>
      <c r="D63" s="24"/>
      <c r="E63" s="24"/>
      <c r="F63" s="24"/>
      <c r="G63" s="24"/>
      <c r="H63" s="24"/>
      <c r="I63" s="24"/>
      <c r="J63" s="24"/>
      <c r="K63" s="24"/>
      <c r="L63" s="25"/>
    </row>
    <row r="64" spans="1:12" x14ac:dyDescent="0.35">
      <c r="A64" s="26"/>
      <c r="B64" s="27"/>
      <c r="C64" s="28"/>
      <c r="D64" s="24"/>
      <c r="E64" s="24"/>
      <c r="F64" s="24"/>
      <c r="G64" s="24"/>
      <c r="H64" s="24"/>
      <c r="I64" s="24"/>
      <c r="J64" s="24"/>
      <c r="K64" s="24"/>
      <c r="L64" s="25"/>
    </row>
    <row r="65" spans="1:12" x14ac:dyDescent="0.35">
      <c r="A65" s="26"/>
      <c r="B65" s="27"/>
      <c r="C65" s="28"/>
      <c r="D65" s="24"/>
      <c r="E65" s="24"/>
      <c r="F65" s="24"/>
      <c r="G65" s="24"/>
      <c r="H65" s="24"/>
      <c r="I65" s="24"/>
      <c r="J65" s="24"/>
      <c r="K65" s="24"/>
      <c r="L65" s="25"/>
    </row>
    <row r="66" spans="1:12" ht="18" x14ac:dyDescent="0.4">
      <c r="A66" s="315"/>
      <c r="B66" s="59" t="s">
        <v>67</v>
      </c>
      <c r="C66" s="51" t="s">
        <v>68</v>
      </c>
      <c r="D66" s="52">
        <f>SUM(SROI!D76:N76)</f>
        <v>5892474.8705741372</v>
      </c>
      <c r="E66" s="24"/>
      <c r="F66" s="24"/>
      <c r="G66" s="24"/>
      <c r="H66" s="24"/>
      <c r="I66" s="24"/>
      <c r="J66" s="24"/>
      <c r="K66" s="24"/>
      <c r="L66" s="25"/>
    </row>
    <row r="67" spans="1:12" ht="18" x14ac:dyDescent="0.4">
      <c r="A67" s="315"/>
      <c r="B67" s="59" t="s">
        <v>69</v>
      </c>
      <c r="C67" s="51" t="s">
        <v>68</v>
      </c>
      <c r="D67" s="52">
        <f>SUM(SROI!D77:N77)</f>
        <v>9173346.2952965517</v>
      </c>
      <c r="E67" s="24"/>
      <c r="F67" s="24"/>
      <c r="G67" s="24"/>
      <c r="H67" s="24"/>
      <c r="I67" s="24"/>
      <c r="J67" s="24"/>
      <c r="K67" s="24"/>
      <c r="L67" s="25"/>
    </row>
    <row r="68" spans="1:12" ht="18" x14ac:dyDescent="0.4">
      <c r="A68" s="315"/>
      <c r="B68" s="316" t="s">
        <v>70</v>
      </c>
      <c r="C68" s="51" t="s">
        <v>71</v>
      </c>
      <c r="D68" s="52">
        <f>SROI!C87</f>
        <v>2733394.2235205881</v>
      </c>
      <c r="E68" s="24"/>
      <c r="F68" s="24"/>
      <c r="G68" s="24"/>
      <c r="H68" s="24"/>
      <c r="I68" s="24"/>
      <c r="J68" s="24"/>
      <c r="K68" s="24"/>
      <c r="L68" s="25"/>
    </row>
    <row r="69" spans="1:12" ht="18" x14ac:dyDescent="0.4">
      <c r="A69" s="315"/>
      <c r="B69" s="316"/>
      <c r="C69" s="51" t="s">
        <v>68</v>
      </c>
      <c r="D69" s="52">
        <f>SROI!C92</f>
        <v>15065821.165870689</v>
      </c>
      <c r="E69" s="24"/>
      <c r="F69" s="24"/>
      <c r="G69" s="24"/>
      <c r="H69" s="24"/>
      <c r="I69" s="24"/>
      <c r="J69" s="24"/>
      <c r="K69" s="24"/>
      <c r="L69" s="25"/>
    </row>
    <row r="70" spans="1:12" ht="18" x14ac:dyDescent="0.4">
      <c r="A70" s="315"/>
      <c r="B70" s="316"/>
      <c r="C70" s="51" t="s">
        <v>72</v>
      </c>
      <c r="D70" s="52">
        <f>SROI!C93</f>
        <v>12332426.942350101</v>
      </c>
      <c r="E70" s="24"/>
      <c r="F70" s="24"/>
      <c r="G70" s="24"/>
      <c r="H70" s="24"/>
      <c r="I70" s="24"/>
      <c r="J70" s="24"/>
      <c r="K70" s="24"/>
      <c r="L70" s="25"/>
    </row>
    <row r="71" spans="1:12" x14ac:dyDescent="0.35">
      <c r="A71" s="26"/>
      <c r="B71" s="27"/>
      <c r="C71" s="28"/>
      <c r="D71" s="24"/>
      <c r="E71" s="24"/>
      <c r="F71" s="24"/>
      <c r="G71" s="24"/>
      <c r="H71" s="24"/>
      <c r="I71" s="24"/>
      <c r="J71" s="24"/>
      <c r="K71" s="24"/>
      <c r="L71" s="25"/>
    </row>
    <row r="72" spans="1:12" x14ac:dyDescent="0.35">
      <c r="A72" s="26"/>
      <c r="B72" s="27"/>
      <c r="C72" s="28"/>
      <c r="D72" s="24"/>
      <c r="E72" s="24"/>
      <c r="F72" s="24"/>
      <c r="G72" s="24"/>
      <c r="H72" s="24"/>
      <c r="I72" s="24"/>
      <c r="J72" s="24"/>
      <c r="K72" s="24"/>
      <c r="L72" s="25"/>
    </row>
    <row r="73" spans="1:12" x14ac:dyDescent="0.35">
      <c r="A73" s="26"/>
      <c r="B73" s="27"/>
      <c r="C73" s="28"/>
      <c r="D73" s="24"/>
      <c r="E73" s="24"/>
      <c r="F73" s="24"/>
      <c r="G73" s="24"/>
      <c r="H73" s="24"/>
      <c r="I73" s="24"/>
      <c r="J73" s="24"/>
      <c r="K73" s="24"/>
      <c r="L73" s="25"/>
    </row>
    <row r="74" spans="1:12" x14ac:dyDescent="0.35">
      <c r="A74" s="26"/>
      <c r="B74" s="27"/>
      <c r="C74" s="28"/>
      <c r="D74" s="24"/>
      <c r="E74" s="24"/>
      <c r="F74" s="24"/>
      <c r="G74" s="24"/>
      <c r="H74" s="24"/>
      <c r="I74" s="24"/>
      <c r="J74" s="24"/>
      <c r="K74" s="24"/>
      <c r="L74" s="25"/>
    </row>
    <row r="75" spans="1:12" x14ac:dyDescent="0.35">
      <c r="A75" s="26"/>
      <c r="B75" s="27"/>
      <c r="C75" s="28"/>
      <c r="D75" s="24"/>
      <c r="E75" s="24"/>
      <c r="F75" s="24"/>
      <c r="G75" s="24"/>
      <c r="H75" s="24"/>
      <c r="I75" s="24"/>
      <c r="J75" s="24"/>
      <c r="K75" s="24"/>
      <c r="L75" s="25"/>
    </row>
    <row r="76" spans="1:12" x14ac:dyDescent="0.35">
      <c r="A76" s="26"/>
      <c r="B76" s="27"/>
      <c r="C76" s="28"/>
      <c r="D76" s="24"/>
      <c r="E76" s="24"/>
      <c r="F76" s="24"/>
      <c r="G76" s="24"/>
      <c r="H76" s="24"/>
      <c r="I76" s="24"/>
      <c r="J76" s="24"/>
      <c r="K76" s="24"/>
      <c r="L76" s="25"/>
    </row>
    <row r="77" spans="1:12" x14ac:dyDescent="0.35">
      <c r="A77" s="26"/>
      <c r="B77" s="27"/>
      <c r="C77" s="28"/>
      <c r="D77" s="24"/>
      <c r="E77" s="24"/>
      <c r="F77" s="24"/>
      <c r="G77" s="24"/>
      <c r="H77" s="24"/>
      <c r="I77" s="24"/>
      <c r="J77" s="24"/>
      <c r="K77" s="24"/>
      <c r="L77" s="25"/>
    </row>
    <row r="78" spans="1:12" x14ac:dyDescent="0.35">
      <c r="A78" s="26"/>
      <c r="B78" s="27"/>
      <c r="C78" s="28"/>
      <c r="D78" s="24"/>
      <c r="E78" s="24"/>
      <c r="F78" s="24"/>
      <c r="G78" s="24"/>
      <c r="H78" s="24"/>
      <c r="I78" s="24"/>
      <c r="J78" s="24"/>
      <c r="K78" s="24"/>
      <c r="L78" s="25"/>
    </row>
    <row r="79" spans="1:12" x14ac:dyDescent="0.35">
      <c r="A79" s="26"/>
      <c r="B79" s="27"/>
      <c r="C79" s="28"/>
      <c r="D79" s="24"/>
      <c r="E79" s="24"/>
      <c r="F79" s="24"/>
      <c r="G79" s="24"/>
      <c r="H79" s="24"/>
      <c r="I79" s="24"/>
      <c r="J79" s="24"/>
      <c r="K79" s="24"/>
      <c r="L79" s="25"/>
    </row>
    <row r="80" spans="1:12" x14ac:dyDescent="0.35">
      <c r="A80" s="26"/>
      <c r="B80" s="27"/>
      <c r="C80" s="28"/>
      <c r="D80" s="24"/>
      <c r="E80" s="24"/>
      <c r="F80" s="24"/>
      <c r="G80" s="24"/>
      <c r="H80" s="24"/>
      <c r="I80" s="24"/>
      <c r="J80" s="24"/>
      <c r="K80" s="24"/>
      <c r="L80" s="25"/>
    </row>
    <row r="81" spans="1:12" x14ac:dyDescent="0.35">
      <c r="A81" s="26"/>
      <c r="B81" s="27"/>
      <c r="C81" s="28"/>
      <c r="D81" s="24"/>
      <c r="E81" s="24"/>
      <c r="F81" s="24"/>
      <c r="G81" s="24"/>
      <c r="H81" s="24"/>
      <c r="I81" s="24"/>
      <c r="J81" s="24"/>
      <c r="K81" s="24"/>
      <c r="L81" s="25"/>
    </row>
    <row r="82" spans="1:12" x14ac:dyDescent="0.35">
      <c r="A82" s="26"/>
      <c r="B82" s="27"/>
      <c r="C82" s="28"/>
      <c r="D82" s="24"/>
      <c r="E82" s="24"/>
      <c r="F82" s="24"/>
      <c r="G82" s="24"/>
      <c r="H82" s="24"/>
      <c r="I82" s="24"/>
      <c r="J82" s="24"/>
      <c r="K82" s="24"/>
      <c r="L82" s="25"/>
    </row>
    <row r="83" spans="1:12" x14ac:dyDescent="0.35">
      <c r="A83" s="26"/>
      <c r="B83" s="27"/>
      <c r="C83" s="28"/>
      <c r="D83" s="24"/>
      <c r="E83" s="24"/>
      <c r="F83" s="24"/>
      <c r="G83" s="24"/>
      <c r="H83" s="24"/>
      <c r="I83" s="24"/>
      <c r="J83" s="24"/>
      <c r="K83" s="24"/>
      <c r="L83" s="25"/>
    </row>
    <row r="84" spans="1:12" ht="32.9" customHeight="1" x14ac:dyDescent="0.35">
      <c r="A84" s="53"/>
      <c r="B84" s="213" t="s">
        <v>73</v>
      </c>
      <c r="C84" s="54"/>
      <c r="D84" s="55"/>
      <c r="E84" s="55"/>
      <c r="F84" s="55"/>
      <c r="G84" s="55"/>
      <c r="H84" s="55"/>
      <c r="I84" s="55"/>
      <c r="J84" s="55"/>
      <c r="K84" s="55"/>
      <c r="L84" s="56"/>
    </row>
  </sheetData>
  <mergeCells count="7">
    <mergeCell ref="B23:C23"/>
    <mergeCell ref="A68:A70"/>
    <mergeCell ref="B68:B70"/>
    <mergeCell ref="A66:A67"/>
    <mergeCell ref="C40:K40"/>
    <mergeCell ref="C41:K41"/>
    <mergeCell ref="C42:K42"/>
  </mergeCells>
  <conditionalFormatting sqref="C22">
    <cfRule type="cellIs" dxfId="20" priority="5" operator="equal">
      <formula>"High"</formula>
    </cfRule>
    <cfRule type="cellIs" dxfId="19" priority="6" operator="equal">
      <formula>"Medium"</formula>
    </cfRule>
    <cfRule type="cellIs" dxfId="18" priority="7" operator="equal">
      <formula>"Low"</formula>
    </cfRule>
  </conditionalFormatting>
  <conditionalFormatting sqref="C36">
    <cfRule type="cellIs" dxfId="17" priority="2" operator="equal">
      <formula>"Excellent"</formula>
    </cfRule>
    <cfRule type="cellIs" dxfId="16" priority="3" operator="equal">
      <formula>"Good"</formula>
    </cfRule>
    <cfRule type="cellIs" dxfId="15" priority="4" operator="equal">
      <formula>"Fair"</formula>
    </cfRule>
  </conditionalFormatting>
  <conditionalFormatting sqref="E50">
    <cfRule type="cellIs" dxfId="14" priority="1" operator="lessThan">
      <formula>0</formula>
    </cfRule>
  </conditionalFormatting>
  <dataValidations count="3">
    <dataValidation type="list" allowBlank="1" showInputMessage="1" showErrorMessage="1" sqref="C21" xr:uid="{4F85D092-DDA5-4847-95E2-39EEF692F66B}">
      <formula1>"Forecast, Semi-Forecast, Evaluative"</formula1>
    </dataValidation>
    <dataValidation type="list" allowBlank="1" showInputMessage="1" showErrorMessage="1" sqref="C36" xr:uid="{B362EACC-6D61-45B9-920C-B148228CB8A8}">
      <formula1>"Fair, Good, Excellent"</formula1>
    </dataValidation>
    <dataValidation type="list" allowBlank="1" showInputMessage="1" showErrorMessage="1" sqref="C22" xr:uid="{0C17DE77-0AB9-4216-8A9B-C7BEF10DA5A6}">
      <formula1>"Low, Medium, High"</formula1>
    </dataValidation>
  </dataValidations>
  <hyperlinks>
    <hyperlink ref="C7" r:id="rId1" xr:uid="{4B36B4F7-8CC0-4C0E-8B5D-F91A36264017}"/>
    <hyperlink ref="D8" r:id="rId2" xr:uid="{00F65DD0-3236-4622-B5E3-0CB7CFE7613F}"/>
    <hyperlink ref="C8" r:id="rId3" xr:uid="{E33E1A1D-97FE-4846-902D-09A54CBA199E}"/>
  </hyperlinks>
  <pageMargins left="0.7" right="0.7" top="0.75" bottom="0.75" header="0.3" footer="0.3"/>
  <pageSetup paperSize="9" scale="4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0D58-CF9C-4C2B-8EA9-55D54D47E0AE}">
  <dimension ref="A1:R68"/>
  <sheetViews>
    <sheetView showGridLines="0" zoomScale="64" zoomScaleNormal="100" workbookViewId="0">
      <selection activeCell="A35" sqref="A35:XFD35"/>
    </sheetView>
  </sheetViews>
  <sheetFormatPr baseColWidth="10" defaultColWidth="8.7265625" defaultRowHeight="14.5" x14ac:dyDescent="0.35"/>
  <cols>
    <col min="1" max="1" width="2.81640625" customWidth="1"/>
  </cols>
  <sheetData>
    <row r="1" spans="1:18" ht="18" x14ac:dyDescent="0.4">
      <c r="A1" s="62"/>
      <c r="B1" s="162" t="s">
        <v>74</v>
      </c>
      <c r="C1" s="63"/>
      <c r="D1" s="63"/>
      <c r="E1" s="63"/>
      <c r="F1" s="63"/>
      <c r="G1" s="63"/>
      <c r="H1" s="63"/>
      <c r="I1" s="63"/>
      <c r="J1" s="63"/>
      <c r="K1" s="63"/>
      <c r="L1" s="63"/>
      <c r="M1" s="63"/>
      <c r="N1" s="63"/>
      <c r="O1" s="63"/>
      <c r="P1" s="63"/>
      <c r="Q1" s="63"/>
      <c r="R1" s="64"/>
    </row>
    <row r="2" spans="1:18" x14ac:dyDescent="0.35">
      <c r="A2" s="66"/>
      <c r="R2" s="65"/>
    </row>
    <row r="3" spans="1:18" x14ac:dyDescent="0.35">
      <c r="A3" s="66"/>
      <c r="R3" s="65"/>
    </row>
    <row r="4" spans="1:18" x14ac:dyDescent="0.35">
      <c r="A4" s="66"/>
      <c r="R4" s="65"/>
    </row>
    <row r="5" spans="1:18" x14ac:dyDescent="0.35">
      <c r="A5" s="66"/>
      <c r="R5" s="65"/>
    </row>
    <row r="6" spans="1:18" x14ac:dyDescent="0.35">
      <c r="A6" s="66"/>
      <c r="R6" s="65"/>
    </row>
    <row r="7" spans="1:18" x14ac:dyDescent="0.35">
      <c r="A7" s="66"/>
      <c r="R7" s="65"/>
    </row>
    <row r="8" spans="1:18" x14ac:dyDescent="0.35">
      <c r="A8" s="66"/>
      <c r="R8" s="65"/>
    </row>
    <row r="9" spans="1:18" x14ac:dyDescent="0.35">
      <c r="A9" s="66"/>
      <c r="R9" s="65"/>
    </row>
    <row r="10" spans="1:18" x14ac:dyDescent="0.35">
      <c r="A10" s="66"/>
      <c r="R10" s="65"/>
    </row>
    <row r="11" spans="1:18" x14ac:dyDescent="0.35">
      <c r="A11" s="66"/>
      <c r="R11" s="65"/>
    </row>
    <row r="12" spans="1:18" x14ac:dyDescent="0.35">
      <c r="A12" s="66"/>
      <c r="R12" s="65"/>
    </row>
    <row r="13" spans="1:18" x14ac:dyDescent="0.35">
      <c r="A13" s="66"/>
      <c r="R13" s="65"/>
    </row>
    <row r="14" spans="1:18" x14ac:dyDescent="0.35">
      <c r="A14" s="66"/>
      <c r="R14" s="65"/>
    </row>
    <row r="15" spans="1:18" x14ac:dyDescent="0.35">
      <c r="A15" s="66"/>
      <c r="R15" s="65"/>
    </row>
    <row r="16" spans="1:18" x14ac:dyDescent="0.35">
      <c r="A16" s="66"/>
      <c r="R16" s="65"/>
    </row>
    <row r="17" spans="1:18" x14ac:dyDescent="0.35">
      <c r="A17" s="66"/>
      <c r="R17" s="65"/>
    </row>
    <row r="18" spans="1:18" x14ac:dyDescent="0.35">
      <c r="A18" s="66"/>
      <c r="R18" s="65"/>
    </row>
    <row r="19" spans="1:18" x14ac:dyDescent="0.35">
      <c r="A19" s="66"/>
      <c r="R19" s="65"/>
    </row>
    <row r="20" spans="1:18" x14ac:dyDescent="0.35">
      <c r="A20" s="66"/>
      <c r="R20" s="65"/>
    </row>
    <row r="21" spans="1:18" x14ac:dyDescent="0.35">
      <c r="A21" s="66"/>
      <c r="R21" s="65"/>
    </row>
    <row r="22" spans="1:18" x14ac:dyDescent="0.35">
      <c r="A22" s="66"/>
      <c r="R22" s="65"/>
    </row>
    <row r="23" spans="1:18" x14ac:dyDescent="0.35">
      <c r="A23" s="66"/>
      <c r="R23" s="65"/>
    </row>
    <row r="24" spans="1:18" x14ac:dyDescent="0.35">
      <c r="A24" s="66"/>
      <c r="R24" s="65"/>
    </row>
    <row r="25" spans="1:18" x14ac:dyDescent="0.35">
      <c r="A25" s="66"/>
      <c r="R25" s="65"/>
    </row>
    <row r="26" spans="1:18" x14ac:dyDescent="0.35">
      <c r="A26" s="66"/>
      <c r="R26" s="65"/>
    </row>
    <row r="27" spans="1:18" x14ac:dyDescent="0.35">
      <c r="A27" s="66"/>
      <c r="R27" s="65"/>
    </row>
    <row r="28" spans="1:18" x14ac:dyDescent="0.35">
      <c r="A28" s="66"/>
      <c r="R28" s="65"/>
    </row>
    <row r="29" spans="1:18" x14ac:dyDescent="0.35">
      <c r="A29" s="66"/>
      <c r="R29" s="65"/>
    </row>
    <row r="30" spans="1:18" x14ac:dyDescent="0.35">
      <c r="A30" s="66"/>
      <c r="R30" s="65"/>
    </row>
    <row r="31" spans="1:18" x14ac:dyDescent="0.35">
      <c r="A31" s="66"/>
      <c r="R31" s="65"/>
    </row>
    <row r="32" spans="1:18" x14ac:dyDescent="0.35">
      <c r="A32" s="66"/>
      <c r="R32" s="65"/>
    </row>
    <row r="33" spans="1:18" x14ac:dyDescent="0.35">
      <c r="A33" s="66"/>
      <c r="R33" s="65"/>
    </row>
    <row r="34" spans="1:18" x14ac:dyDescent="0.35">
      <c r="A34" s="66"/>
      <c r="R34" s="65"/>
    </row>
    <row r="35" spans="1:18" ht="18" x14ac:dyDescent="0.4">
      <c r="A35" s="67"/>
      <c r="B35" s="161" t="s">
        <v>75</v>
      </c>
      <c r="C35" s="12"/>
      <c r="D35" s="12"/>
      <c r="E35" s="12"/>
      <c r="F35" s="12"/>
      <c r="G35" s="12"/>
      <c r="H35" s="12"/>
      <c r="I35" s="12"/>
      <c r="J35" s="12"/>
      <c r="K35" s="12"/>
      <c r="L35" s="12"/>
      <c r="M35" s="12"/>
      <c r="N35" s="12"/>
      <c r="O35" s="12"/>
      <c r="P35" s="12"/>
      <c r="Q35" s="12"/>
      <c r="R35" s="69"/>
    </row>
    <row r="36" spans="1:18" x14ac:dyDescent="0.35">
      <c r="A36" s="66"/>
      <c r="R36" s="65"/>
    </row>
    <row r="37" spans="1:18" x14ac:dyDescent="0.35">
      <c r="A37" s="66"/>
      <c r="R37" s="65"/>
    </row>
    <row r="38" spans="1:18" x14ac:dyDescent="0.35">
      <c r="A38" s="66"/>
      <c r="R38" s="65"/>
    </row>
    <row r="39" spans="1:18" x14ac:dyDescent="0.35">
      <c r="A39" s="66"/>
      <c r="R39" s="65"/>
    </row>
    <row r="40" spans="1:18" x14ac:dyDescent="0.35">
      <c r="A40" s="66"/>
      <c r="R40" s="65"/>
    </row>
    <row r="41" spans="1:18" x14ac:dyDescent="0.35">
      <c r="A41" s="66"/>
      <c r="R41" s="65"/>
    </row>
    <row r="42" spans="1:18" x14ac:dyDescent="0.35">
      <c r="A42" s="66"/>
      <c r="R42" s="65"/>
    </row>
    <row r="43" spans="1:18" x14ac:dyDescent="0.35">
      <c r="A43" s="66"/>
      <c r="R43" s="65"/>
    </row>
    <row r="44" spans="1:18" x14ac:dyDescent="0.35">
      <c r="A44" s="66"/>
      <c r="R44" s="65"/>
    </row>
    <row r="45" spans="1:18" x14ac:dyDescent="0.35">
      <c r="A45" s="66"/>
      <c r="R45" s="65"/>
    </row>
    <row r="46" spans="1:18" x14ac:dyDescent="0.35">
      <c r="A46" s="66"/>
      <c r="R46" s="65"/>
    </row>
    <row r="47" spans="1:18" x14ac:dyDescent="0.35">
      <c r="A47" s="66"/>
      <c r="R47" s="65"/>
    </row>
    <row r="48" spans="1:18" x14ac:dyDescent="0.35">
      <c r="A48" s="66"/>
      <c r="R48" s="65"/>
    </row>
    <row r="49" spans="1:18" x14ac:dyDescent="0.35">
      <c r="A49" s="66"/>
      <c r="R49" s="65"/>
    </row>
    <row r="50" spans="1:18" x14ac:dyDescent="0.35">
      <c r="A50" s="66"/>
      <c r="R50" s="65"/>
    </row>
    <row r="51" spans="1:18" x14ac:dyDescent="0.35">
      <c r="A51" s="66"/>
      <c r="R51" s="65"/>
    </row>
    <row r="52" spans="1:18" x14ac:dyDescent="0.35">
      <c r="A52" s="66"/>
      <c r="R52" s="65"/>
    </row>
    <row r="53" spans="1:18" x14ac:dyDescent="0.35">
      <c r="A53" s="66"/>
      <c r="R53" s="65"/>
    </row>
    <row r="54" spans="1:18" x14ac:dyDescent="0.35">
      <c r="A54" s="66"/>
      <c r="R54" s="65"/>
    </row>
    <row r="55" spans="1:18" x14ac:dyDescent="0.35">
      <c r="A55" s="66"/>
      <c r="R55" s="65"/>
    </row>
    <row r="56" spans="1:18" x14ac:dyDescent="0.35">
      <c r="A56" s="66"/>
      <c r="R56" s="65"/>
    </row>
    <row r="57" spans="1:18" x14ac:dyDescent="0.35">
      <c r="A57" s="66"/>
      <c r="R57" s="65"/>
    </row>
    <row r="58" spans="1:18" x14ac:dyDescent="0.35">
      <c r="A58" s="66"/>
      <c r="R58" s="65"/>
    </row>
    <row r="59" spans="1:18" x14ac:dyDescent="0.35">
      <c r="A59" s="66"/>
      <c r="R59" s="65"/>
    </row>
    <row r="60" spans="1:18" x14ac:dyDescent="0.35">
      <c r="A60" s="66"/>
      <c r="R60" s="65"/>
    </row>
    <row r="61" spans="1:18" x14ac:dyDescent="0.35">
      <c r="A61" s="66"/>
      <c r="R61" s="65"/>
    </row>
    <row r="62" spans="1:18" x14ac:dyDescent="0.35">
      <c r="A62" s="66"/>
      <c r="R62" s="65"/>
    </row>
    <row r="63" spans="1:18" x14ac:dyDescent="0.35">
      <c r="A63" s="66"/>
      <c r="R63" s="65"/>
    </row>
    <row r="64" spans="1:18" x14ac:dyDescent="0.35">
      <c r="A64" s="66"/>
      <c r="R64" s="65"/>
    </row>
    <row r="65" spans="1:18" x14ac:dyDescent="0.35">
      <c r="A65" s="66"/>
      <c r="R65" s="65"/>
    </row>
    <row r="66" spans="1:18" x14ac:dyDescent="0.35">
      <c r="A66" s="66"/>
      <c r="R66" s="65"/>
    </row>
    <row r="67" spans="1:18" x14ac:dyDescent="0.35">
      <c r="A67" s="66"/>
      <c r="R67" s="65"/>
    </row>
    <row r="68" spans="1:18" x14ac:dyDescent="0.35">
      <c r="A68" s="71"/>
      <c r="B68" s="72"/>
      <c r="C68" s="72"/>
      <c r="D68" s="72"/>
      <c r="E68" s="72"/>
      <c r="F68" s="72"/>
      <c r="G68" s="72"/>
      <c r="H68" s="72"/>
      <c r="I68" s="72"/>
      <c r="J68" s="72"/>
      <c r="K68" s="72"/>
      <c r="L68" s="72"/>
      <c r="M68" s="72"/>
      <c r="N68" s="72"/>
      <c r="O68" s="72"/>
      <c r="P68" s="72"/>
      <c r="Q68" s="72"/>
      <c r="R68" s="7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Q88"/>
  <sheetViews>
    <sheetView showGridLines="0" zoomScale="96" zoomScaleNormal="96" workbookViewId="0">
      <selection activeCell="B67" sqref="B67"/>
    </sheetView>
  </sheetViews>
  <sheetFormatPr baseColWidth="10" defaultColWidth="9.453125" defaultRowHeight="14.5" x14ac:dyDescent="0.35"/>
  <cols>
    <col min="1" max="1" width="5.1796875" customWidth="1"/>
    <col min="2" max="2" width="54.453125" customWidth="1"/>
    <col min="3" max="3" width="16.54296875" customWidth="1"/>
    <col min="4" max="4" width="18.453125" customWidth="1"/>
    <col min="5" max="6" width="12.54296875" customWidth="1"/>
    <col min="10" max="10" width="14.453125" customWidth="1"/>
    <col min="11" max="11" width="13.453125" customWidth="1"/>
    <col min="12" max="12" width="12" customWidth="1"/>
    <col min="16" max="16" width="14.453125" customWidth="1"/>
    <col min="17" max="17" width="8.54296875" customWidth="1"/>
  </cols>
  <sheetData>
    <row r="1" spans="1:17" ht="18" x14ac:dyDescent="0.4">
      <c r="A1" s="103"/>
      <c r="B1" s="161" t="s">
        <v>76</v>
      </c>
      <c r="C1" s="103"/>
      <c r="D1" s="114"/>
      <c r="E1" s="12"/>
      <c r="F1" s="12"/>
      <c r="G1" s="12"/>
      <c r="H1" s="12"/>
      <c r="I1" s="12"/>
      <c r="J1" s="12"/>
      <c r="K1" s="12"/>
      <c r="L1" s="12"/>
      <c r="M1" s="12"/>
      <c r="N1" s="12"/>
      <c r="O1" s="12"/>
      <c r="P1" s="12"/>
      <c r="Q1" s="69"/>
    </row>
    <row r="2" spans="1:17" ht="18" x14ac:dyDescent="0.4">
      <c r="A2" s="66"/>
      <c r="B2" s="102"/>
      <c r="C2" s="112"/>
      <c r="D2" s="113"/>
      <c r="Q2" s="65"/>
    </row>
    <row r="3" spans="1:17" x14ac:dyDescent="0.35">
      <c r="A3" s="66"/>
      <c r="B3" s="169" t="s">
        <v>77</v>
      </c>
      <c r="C3" s="181" t="s">
        <v>78</v>
      </c>
      <c r="E3" s="326" t="s">
        <v>79</v>
      </c>
      <c r="F3" s="326"/>
      <c r="G3" s="326"/>
      <c r="H3" s="326"/>
      <c r="I3" s="326"/>
      <c r="J3" s="326"/>
      <c r="Q3" s="65"/>
    </row>
    <row r="4" spans="1:17" x14ac:dyDescent="0.35">
      <c r="A4" s="66"/>
      <c r="B4" s="170" t="s">
        <v>80</v>
      </c>
      <c r="C4" s="182">
        <v>2021</v>
      </c>
      <c r="E4" s="327" t="s">
        <v>81</v>
      </c>
      <c r="F4" s="327"/>
      <c r="G4" s="327"/>
      <c r="H4" s="327"/>
      <c r="I4" s="327"/>
      <c r="J4" s="327"/>
      <c r="Q4" s="65"/>
    </row>
    <row r="5" spans="1:17" x14ac:dyDescent="0.35">
      <c r="A5" s="66"/>
      <c r="B5" s="170" t="s">
        <v>82</v>
      </c>
      <c r="C5" s="182">
        <v>2022</v>
      </c>
      <c r="E5" s="328" t="s">
        <v>83</v>
      </c>
      <c r="F5" s="328"/>
      <c r="G5" s="328"/>
      <c r="H5" s="328"/>
      <c r="I5" s="328"/>
      <c r="J5" s="328"/>
      <c r="Q5" s="65"/>
    </row>
    <row r="6" spans="1:17" x14ac:dyDescent="0.35">
      <c r="A6" s="66"/>
      <c r="B6" s="170" t="s">
        <v>84</v>
      </c>
      <c r="C6" s="182">
        <v>2021</v>
      </c>
      <c r="Q6" s="65"/>
    </row>
    <row r="7" spans="1:17" x14ac:dyDescent="0.35">
      <c r="A7" s="66"/>
      <c r="B7" s="170" t="s">
        <v>85</v>
      </c>
      <c r="C7" s="182" t="s">
        <v>86</v>
      </c>
      <c r="Q7" s="65"/>
    </row>
    <row r="8" spans="1:17" x14ac:dyDescent="0.35">
      <c r="A8" s="66"/>
      <c r="Q8" s="65"/>
    </row>
    <row r="9" spans="1:17" ht="18.5" x14ac:dyDescent="0.45">
      <c r="A9" s="104"/>
      <c r="B9" s="161" t="s">
        <v>87</v>
      </c>
      <c r="C9" s="105"/>
      <c r="D9" s="105"/>
      <c r="E9" s="105"/>
      <c r="F9" s="105"/>
      <c r="G9" s="105"/>
      <c r="H9" s="105"/>
      <c r="I9" s="105"/>
      <c r="J9" s="105"/>
      <c r="K9" s="105"/>
      <c r="L9" s="105"/>
      <c r="M9" s="105"/>
      <c r="N9" s="105"/>
      <c r="O9" s="105"/>
      <c r="P9" s="105"/>
      <c r="Q9" s="68"/>
    </row>
    <row r="10" spans="1:17" ht="15" thickBot="1" x14ac:dyDescent="0.4">
      <c r="A10" s="66"/>
      <c r="Q10" s="65"/>
    </row>
    <row r="11" spans="1:17" ht="18.5" thickBot="1" x14ac:dyDescent="0.45">
      <c r="A11" s="66"/>
      <c r="B11" s="60" t="s">
        <v>90</v>
      </c>
      <c r="C11" s="237">
        <f>'Sensitivity Analysis'!C5</f>
        <v>0.1</v>
      </c>
      <c r="D11" s="112"/>
      <c r="E11" s="113" t="s">
        <v>98</v>
      </c>
      <c r="F11" s="102"/>
      <c r="G11" s="102"/>
      <c r="H11" s="102"/>
      <c r="I11" s="102"/>
      <c r="J11" s="102"/>
      <c r="K11" s="102"/>
      <c r="L11" s="102"/>
      <c r="M11" s="102"/>
      <c r="N11" s="102"/>
      <c r="O11" s="102"/>
      <c r="P11" s="102"/>
      <c r="Q11" s="65"/>
    </row>
    <row r="12" spans="1:17" ht="18.5" thickBot="1" x14ac:dyDescent="0.45">
      <c r="A12" s="66"/>
      <c r="B12" s="100"/>
      <c r="C12" s="238"/>
      <c r="D12" s="112"/>
      <c r="E12" s="113"/>
      <c r="F12" s="102"/>
      <c r="G12" s="102"/>
      <c r="H12" s="102"/>
      <c r="I12" s="102"/>
      <c r="J12" s="102"/>
      <c r="K12" s="102"/>
      <c r="L12" s="102"/>
      <c r="M12" s="102"/>
      <c r="N12" s="102"/>
      <c r="O12" s="102"/>
      <c r="P12" s="102"/>
      <c r="Q12" s="65"/>
    </row>
    <row r="13" spans="1:17" ht="18.5" thickBot="1" x14ac:dyDescent="0.45">
      <c r="A13" s="66"/>
      <c r="B13" s="60" t="s">
        <v>132</v>
      </c>
      <c r="C13" s="239">
        <f>'Sensitivity Analysis'!C6</f>
        <v>0</v>
      </c>
      <c r="D13" s="131">
        <f>1+C13</f>
        <v>1</v>
      </c>
      <c r="E13" s="113"/>
      <c r="F13" s="102"/>
      <c r="G13" s="102"/>
      <c r="H13" s="102"/>
      <c r="I13" s="102"/>
      <c r="J13" s="102"/>
      <c r="K13" s="102"/>
      <c r="L13" s="102"/>
      <c r="M13" s="102"/>
      <c r="N13" s="102"/>
      <c r="O13" s="102"/>
      <c r="P13" s="102"/>
      <c r="Q13" s="65"/>
    </row>
    <row r="14" spans="1:17" ht="15" thickBot="1" x14ac:dyDescent="0.4">
      <c r="A14" s="66"/>
      <c r="C14" s="166"/>
      <c r="H14" s="236"/>
      <c r="I14" s="236"/>
      <c r="J14" s="236"/>
      <c r="K14" s="236"/>
      <c r="L14" s="236"/>
      <c r="M14" s="236"/>
      <c r="O14" s="236"/>
      <c r="Q14" s="65"/>
    </row>
    <row r="15" spans="1:17" ht="17.5" customHeight="1" thickBot="1" x14ac:dyDescent="0.4">
      <c r="A15" s="66"/>
      <c r="B15" s="60" t="s">
        <v>133</v>
      </c>
      <c r="C15" s="240">
        <v>0</v>
      </c>
      <c r="H15" s="236"/>
      <c r="I15" s="236"/>
      <c r="J15" s="236"/>
      <c r="K15" s="236"/>
      <c r="L15" s="236"/>
      <c r="M15" s="236"/>
      <c r="O15" s="236"/>
      <c r="Q15" s="65"/>
    </row>
    <row r="16" spans="1:17" ht="15" thickBot="1" x14ac:dyDescent="0.4">
      <c r="A16" s="66"/>
      <c r="C16" s="166"/>
      <c r="H16" s="236"/>
      <c r="I16" s="236"/>
      <c r="J16" s="236"/>
      <c r="K16" s="236"/>
      <c r="L16" s="236"/>
      <c r="M16" s="236"/>
      <c r="O16" s="236"/>
      <c r="Q16" s="65"/>
    </row>
    <row r="17" spans="1:17" ht="17.25" customHeight="1" thickBot="1" x14ac:dyDescent="0.4">
      <c r="A17" s="66"/>
      <c r="B17" s="167" t="s">
        <v>134</v>
      </c>
      <c r="C17" s="240">
        <f>'Sensitivity Analysis'!C10</f>
        <v>0.1</v>
      </c>
      <c r="F17" s="215"/>
      <c r="G17" s="215"/>
      <c r="H17" s="215"/>
      <c r="I17" s="215"/>
      <c r="J17" s="215"/>
      <c r="K17" s="215"/>
      <c r="L17" s="215"/>
      <c r="M17" s="215"/>
      <c r="N17" s="215"/>
      <c r="Q17" s="65"/>
    </row>
    <row r="18" spans="1:17" ht="20.149999999999999" customHeight="1" thickBot="1" x14ac:dyDescent="0.4">
      <c r="A18" s="66"/>
      <c r="B18" s="100"/>
      <c r="C18" s="166"/>
      <c r="F18" s="215"/>
      <c r="G18" s="215"/>
      <c r="H18" s="215"/>
      <c r="I18" s="215"/>
      <c r="J18" s="215"/>
      <c r="K18" s="215"/>
      <c r="L18" s="215"/>
      <c r="M18" s="215"/>
      <c r="N18" s="215"/>
      <c r="Q18" s="65"/>
    </row>
    <row r="19" spans="1:17" ht="20.149999999999999" customHeight="1" thickBot="1" x14ac:dyDescent="0.45">
      <c r="A19" s="66"/>
      <c r="B19" s="167" t="s">
        <v>135</v>
      </c>
      <c r="C19" s="240">
        <f>'Sensitivity Analysis'!C11</f>
        <v>1</v>
      </c>
      <c r="D19" s="132"/>
      <c r="F19" s="215"/>
      <c r="G19" s="215"/>
      <c r="H19" s="215"/>
      <c r="I19" s="215"/>
      <c r="J19" s="215"/>
      <c r="K19" s="215"/>
      <c r="L19" s="215"/>
      <c r="M19" s="215"/>
      <c r="N19" s="215"/>
      <c r="Q19" s="65"/>
    </row>
    <row r="20" spans="1:17" ht="15.65" customHeight="1" thickBot="1" x14ac:dyDescent="0.4">
      <c r="A20" s="66"/>
      <c r="C20" s="166"/>
      <c r="F20" s="215"/>
      <c r="G20" s="215"/>
      <c r="H20" s="215"/>
      <c r="I20" s="215"/>
      <c r="J20" s="215"/>
      <c r="K20" s="215"/>
      <c r="L20" s="215"/>
      <c r="M20" s="215"/>
      <c r="N20" s="215"/>
      <c r="Q20" s="65"/>
    </row>
    <row r="21" spans="1:17" ht="22" customHeight="1" thickBot="1" x14ac:dyDescent="0.4">
      <c r="A21" s="66"/>
      <c r="B21" s="167" t="s">
        <v>136</v>
      </c>
      <c r="C21" s="240">
        <f>'Sensitivity Analysis'!C12</f>
        <v>1</v>
      </c>
      <c r="H21" s="236"/>
      <c r="I21" s="236"/>
      <c r="J21" s="236"/>
      <c r="K21" s="236"/>
      <c r="L21" s="236"/>
      <c r="M21" s="236"/>
      <c r="O21" s="236"/>
      <c r="Q21" s="65"/>
    </row>
    <row r="22" spans="1:17" ht="22" customHeight="1" thickBot="1" x14ac:dyDescent="0.4">
      <c r="A22" s="66"/>
      <c r="B22" s="305"/>
      <c r="H22" s="236"/>
      <c r="I22" s="236"/>
      <c r="J22" s="236"/>
      <c r="K22" s="236"/>
      <c r="L22" s="236"/>
      <c r="M22" s="236"/>
      <c r="O22" s="236"/>
      <c r="Q22" s="65"/>
    </row>
    <row r="23" spans="1:17" ht="22" customHeight="1" thickBot="1" x14ac:dyDescent="0.4">
      <c r="A23" s="66"/>
      <c r="B23" s="60" t="s">
        <v>92</v>
      </c>
      <c r="C23" s="239">
        <v>7.2999999999999995E-2</v>
      </c>
      <c r="H23" s="236"/>
      <c r="I23" s="236"/>
      <c r="J23" s="236"/>
      <c r="K23" s="236"/>
      <c r="L23" s="236"/>
      <c r="M23" s="236"/>
      <c r="O23" s="236"/>
      <c r="Q23" s="65"/>
    </row>
    <row r="24" spans="1:17" ht="22" customHeight="1" x14ac:dyDescent="0.35">
      <c r="A24" s="66"/>
      <c r="B24" s="183" t="s">
        <v>93</v>
      </c>
      <c r="H24" s="236"/>
      <c r="I24" s="236"/>
      <c r="J24" s="236"/>
      <c r="K24" s="236"/>
      <c r="L24" s="236"/>
      <c r="M24" s="236"/>
      <c r="O24" s="236"/>
      <c r="Q24" s="65"/>
    </row>
    <row r="25" spans="1:17" x14ac:dyDescent="0.35">
      <c r="A25" s="66"/>
      <c r="C25" s="14"/>
      <c r="H25" s="236"/>
      <c r="I25" s="236"/>
      <c r="J25" s="236"/>
      <c r="K25" s="236"/>
      <c r="L25" s="236"/>
      <c r="N25" s="236"/>
      <c r="Q25" s="65"/>
    </row>
    <row r="26" spans="1:17" x14ac:dyDescent="0.35">
      <c r="A26" s="66"/>
      <c r="B26" s="106" t="s">
        <v>137</v>
      </c>
      <c r="C26" s="106"/>
      <c r="D26" s="106"/>
      <c r="E26" s="106"/>
      <c r="Q26" s="65"/>
    </row>
    <row r="27" spans="1:17" ht="15.5" x14ac:dyDescent="0.35">
      <c r="A27" s="66"/>
      <c r="B27" s="101" t="s">
        <v>88</v>
      </c>
      <c r="C27" s="124" t="s">
        <v>89</v>
      </c>
      <c r="D27" s="101" t="s">
        <v>91</v>
      </c>
      <c r="E27" s="101" t="s">
        <v>138</v>
      </c>
      <c r="F27" s="133"/>
      <c r="Q27" s="65"/>
    </row>
    <row r="28" spans="1:17" ht="21" customHeight="1" x14ac:dyDescent="0.35">
      <c r="A28" s="66"/>
      <c r="B28" s="241" t="s">
        <v>139</v>
      </c>
      <c r="C28" s="242">
        <v>0.6</v>
      </c>
      <c r="D28" s="243" t="s">
        <v>140</v>
      </c>
      <c r="E28" s="119" t="s">
        <v>141</v>
      </c>
      <c r="F28" s="133" t="s">
        <v>98</v>
      </c>
      <c r="Q28" s="65"/>
    </row>
    <row r="29" spans="1:17" ht="20.25" customHeight="1" x14ac:dyDescent="0.35">
      <c r="A29" s="66"/>
      <c r="B29" s="241" t="s">
        <v>142</v>
      </c>
      <c r="C29" s="244">
        <f>150*5</f>
        <v>750</v>
      </c>
      <c r="D29" s="98" t="s">
        <v>143</v>
      </c>
      <c r="E29" s="119" t="s">
        <v>144</v>
      </c>
      <c r="F29" s="133" t="s">
        <v>145</v>
      </c>
      <c r="L29" t="s">
        <v>98</v>
      </c>
      <c r="Q29" s="65"/>
    </row>
    <row r="30" spans="1:17" ht="20.25" customHeight="1" x14ac:dyDescent="0.35">
      <c r="A30" s="66"/>
      <c r="B30" s="225" t="s">
        <v>146</v>
      </c>
      <c r="C30" s="244">
        <v>2133</v>
      </c>
      <c r="D30" s="224" t="s">
        <v>147</v>
      </c>
      <c r="E30" s="120"/>
      <c r="F30" s="133"/>
      <c r="Q30" s="65"/>
    </row>
    <row r="31" spans="1:17" x14ac:dyDescent="0.35">
      <c r="A31" s="66"/>
      <c r="F31" s="236"/>
      <c r="Q31" s="65"/>
    </row>
    <row r="32" spans="1:17" x14ac:dyDescent="0.35">
      <c r="A32" s="66"/>
      <c r="B32" s="106" t="s">
        <v>148</v>
      </c>
      <c r="C32" s="106"/>
      <c r="D32" s="106"/>
      <c r="E32" s="106"/>
      <c r="F32" s="236"/>
      <c r="Q32" s="65"/>
    </row>
    <row r="33" spans="1:17" ht="15.5" x14ac:dyDescent="0.35">
      <c r="A33" s="66"/>
      <c r="B33" s="101" t="s">
        <v>149</v>
      </c>
      <c r="C33" s="101" t="s">
        <v>150</v>
      </c>
      <c r="D33" s="101" t="s">
        <v>151</v>
      </c>
      <c r="E33" s="101" t="s">
        <v>91</v>
      </c>
      <c r="F33" s="101" t="s">
        <v>138</v>
      </c>
      <c r="Q33" s="65"/>
    </row>
    <row r="34" spans="1:17" ht="22.5" customHeight="1" x14ac:dyDescent="0.35">
      <c r="A34" s="66"/>
      <c r="B34" s="241" t="s">
        <v>139</v>
      </c>
      <c r="C34" s="245">
        <v>0.7</v>
      </c>
      <c r="D34" s="245">
        <v>1.5</v>
      </c>
      <c r="E34" s="246" t="s">
        <v>152</v>
      </c>
      <c r="F34" s="119" t="s">
        <v>153</v>
      </c>
      <c r="G34" t="s">
        <v>98</v>
      </c>
      <c r="Q34" s="65"/>
    </row>
    <row r="35" spans="1:17" ht="20.25" customHeight="1" x14ac:dyDescent="0.35">
      <c r="A35" s="66"/>
      <c r="B35" s="241" t="s">
        <v>142</v>
      </c>
      <c r="C35" s="247">
        <v>974.3</v>
      </c>
      <c r="D35" s="247">
        <v>804.7</v>
      </c>
      <c r="E35" s="99" t="s">
        <v>154</v>
      </c>
      <c r="F35" s="119" t="s">
        <v>153</v>
      </c>
      <c r="G35" t="s">
        <v>98</v>
      </c>
      <c r="Q35" s="65"/>
    </row>
    <row r="36" spans="1:17" ht="20.25" customHeight="1" x14ac:dyDescent="0.35">
      <c r="A36" s="66"/>
      <c r="B36" s="225" t="s">
        <v>146</v>
      </c>
      <c r="C36" s="247">
        <v>2480</v>
      </c>
      <c r="D36" s="247">
        <v>1800</v>
      </c>
      <c r="E36" s="224" t="s">
        <v>155</v>
      </c>
      <c r="F36" s="120"/>
      <c r="Q36" s="65"/>
    </row>
    <row r="37" spans="1:17" ht="20.25" customHeight="1" x14ac:dyDescent="0.35">
      <c r="A37" s="66"/>
      <c r="B37" s="215"/>
      <c r="D37" s="248"/>
      <c r="E37" s="236"/>
      <c r="F37" s="133"/>
      <c r="Q37" s="65"/>
    </row>
    <row r="38" spans="1:17" ht="20.5" x14ac:dyDescent="0.45">
      <c r="A38" s="66"/>
      <c r="B38" s="106" t="s">
        <v>156</v>
      </c>
      <c r="C38" s="115"/>
      <c r="D38" s="115"/>
      <c r="E38" s="115"/>
      <c r="Q38" s="65"/>
    </row>
    <row r="39" spans="1:17" ht="15.5" x14ac:dyDescent="0.35">
      <c r="A39" s="66"/>
      <c r="B39" s="101" t="s">
        <v>88</v>
      </c>
      <c r="C39" s="101" t="s">
        <v>89</v>
      </c>
      <c r="D39" s="101" t="s">
        <v>91</v>
      </c>
      <c r="E39" s="101" t="s">
        <v>138</v>
      </c>
      <c r="F39" s="101" t="s">
        <v>157</v>
      </c>
      <c r="Q39" s="65"/>
    </row>
    <row r="40" spans="1:17" ht="18" customHeight="1" x14ac:dyDescent="0.35">
      <c r="A40" s="66"/>
      <c r="B40" s="216" t="s">
        <v>158</v>
      </c>
      <c r="C40" s="247">
        <v>135524.5</v>
      </c>
      <c r="D40" s="249" t="s">
        <v>159</v>
      </c>
      <c r="E40" s="92" t="s">
        <v>160</v>
      </c>
      <c r="F40" s="121" t="s">
        <v>161</v>
      </c>
      <c r="G40" t="s">
        <v>98</v>
      </c>
      <c r="Q40" s="65"/>
    </row>
    <row r="41" spans="1:17" ht="22" customHeight="1" x14ac:dyDescent="0.35">
      <c r="A41" s="66"/>
      <c r="B41" s="216" t="s">
        <v>162</v>
      </c>
      <c r="C41" s="247">
        <f>C40/('Model input'!$E$79/'Model input'!$D$79)</f>
        <v>101631.00095504879</v>
      </c>
      <c r="D41" s="122"/>
      <c r="E41" s="120"/>
      <c r="F41" s="120"/>
      <c r="Q41" s="65"/>
    </row>
    <row r="42" spans="1:17" x14ac:dyDescent="0.35">
      <c r="Q42" s="65"/>
    </row>
    <row r="43" spans="1:17" x14ac:dyDescent="0.35">
      <c r="A43" s="66"/>
      <c r="B43" s="106" t="s">
        <v>94</v>
      </c>
      <c r="C43" s="107"/>
      <c r="D43" s="108"/>
      <c r="Q43" s="65"/>
    </row>
    <row r="44" spans="1:17" x14ac:dyDescent="0.35">
      <c r="A44" s="66"/>
      <c r="B44" s="176" t="s">
        <v>88</v>
      </c>
      <c r="C44" s="176" t="s">
        <v>89</v>
      </c>
      <c r="D44" s="176" t="s">
        <v>91</v>
      </c>
      <c r="Q44" s="65"/>
    </row>
    <row r="45" spans="1:17" x14ac:dyDescent="0.35">
      <c r="A45" s="66"/>
      <c r="B45" s="216" t="s">
        <v>95</v>
      </c>
      <c r="C45" s="217">
        <v>50</v>
      </c>
      <c r="D45" s="329" t="s">
        <v>96</v>
      </c>
      <c r="Q45" s="65"/>
    </row>
    <row r="46" spans="1:17" x14ac:dyDescent="0.35">
      <c r="A46" s="66"/>
      <c r="B46" s="216" t="s">
        <v>97</v>
      </c>
      <c r="C46" s="218">
        <v>0.01</v>
      </c>
      <c r="D46" s="330"/>
      <c r="E46" t="s">
        <v>98</v>
      </c>
      <c r="Q46" s="65"/>
    </row>
    <row r="47" spans="1:17" x14ac:dyDescent="0.35">
      <c r="A47" s="66"/>
      <c r="B47" s="216" t="s">
        <v>99</v>
      </c>
      <c r="C47" s="217">
        <v>52</v>
      </c>
      <c r="D47" s="331"/>
      <c r="Q47" s="65"/>
    </row>
    <row r="48" spans="1:17" ht="15" customHeight="1" x14ac:dyDescent="0.35">
      <c r="A48" s="188"/>
      <c r="C48" s="190"/>
      <c r="D48" s="191"/>
      <c r="E48" s="189"/>
      <c r="F48" s="189"/>
      <c r="G48" s="191"/>
      <c r="H48" s="191"/>
      <c r="I48" s="191"/>
      <c r="J48" s="191"/>
      <c r="K48" s="191"/>
      <c r="L48" s="191"/>
      <c r="M48" s="191"/>
      <c r="N48" s="191"/>
      <c r="O48" s="188"/>
      <c r="Q48" s="65"/>
    </row>
    <row r="49" spans="1:17" x14ac:dyDescent="0.35">
      <c r="A49" s="66"/>
      <c r="B49" s="189" t="s">
        <v>100</v>
      </c>
      <c r="Q49" s="65"/>
    </row>
    <row r="50" spans="1:17" x14ac:dyDescent="0.35">
      <c r="A50" s="66"/>
      <c r="B50" s="177" t="s">
        <v>101</v>
      </c>
      <c r="C50" s="177">
        <v>2020</v>
      </c>
      <c r="D50" s="177">
        <v>2021</v>
      </c>
      <c r="E50" s="177">
        <v>2022</v>
      </c>
      <c r="F50" s="177">
        <v>2023</v>
      </c>
      <c r="G50" s="177">
        <v>2024</v>
      </c>
      <c r="H50" s="177">
        <v>2025</v>
      </c>
      <c r="I50" s="177">
        <v>2026</v>
      </c>
      <c r="J50" s="177">
        <v>2027</v>
      </c>
      <c r="K50" s="177">
        <v>2028</v>
      </c>
      <c r="L50" s="177">
        <v>2029</v>
      </c>
      <c r="M50" s="177">
        <v>2030</v>
      </c>
      <c r="N50" s="177">
        <v>2031</v>
      </c>
      <c r="O50" s="177">
        <v>2032</v>
      </c>
      <c r="P50" s="107"/>
      <c r="Q50" s="65"/>
    </row>
    <row r="51" spans="1:17" x14ac:dyDescent="0.35">
      <c r="A51" s="66"/>
      <c r="B51" s="216" t="s">
        <v>102</v>
      </c>
      <c r="C51" s="217">
        <v>60</v>
      </c>
      <c r="D51" s="217">
        <f>AVERAGE(C51,E51)</f>
        <v>89</v>
      </c>
      <c r="E51" s="217">
        <v>118</v>
      </c>
      <c r="F51" s="217">
        <v>170</v>
      </c>
      <c r="G51" s="219">
        <f>AVERAGE($C$51:$F$51)</f>
        <v>109.25</v>
      </c>
      <c r="H51" s="219">
        <f t="shared" ref="H51:O51" si="0">AVERAGE($C$51:$F$51)</f>
        <v>109.25</v>
      </c>
      <c r="I51" s="219">
        <f t="shared" si="0"/>
        <v>109.25</v>
      </c>
      <c r="J51" s="219">
        <f t="shared" si="0"/>
        <v>109.25</v>
      </c>
      <c r="K51" s="219">
        <f t="shared" si="0"/>
        <v>109.25</v>
      </c>
      <c r="L51" s="219">
        <f t="shared" si="0"/>
        <v>109.25</v>
      </c>
      <c r="M51" s="219">
        <f t="shared" si="0"/>
        <v>109.25</v>
      </c>
      <c r="N51" s="219">
        <f t="shared" si="0"/>
        <v>109.25</v>
      </c>
      <c r="O51" s="219">
        <f t="shared" si="0"/>
        <v>109.25</v>
      </c>
      <c r="P51" s="109"/>
      <c r="Q51" s="65"/>
    </row>
    <row r="52" spans="1:17" x14ac:dyDescent="0.35">
      <c r="A52" s="66"/>
      <c r="B52" s="216" t="s">
        <v>103</v>
      </c>
      <c r="C52" s="217">
        <f>C51/(C79/'Model input'!$D$79)</f>
        <v>72.638114217657389</v>
      </c>
      <c r="D52" s="217">
        <f>D51/(D79/'Model input'!$D$79)</f>
        <v>89</v>
      </c>
      <c r="E52" s="217">
        <f>E51/(E79/'Model input'!$D$79)</f>
        <v>88.489226026997017</v>
      </c>
      <c r="F52" s="217">
        <f>F51/(F79/'Model input'!$D$79)</f>
        <v>96.434951252462241</v>
      </c>
      <c r="G52" s="219">
        <f>AVERAGE($C$52:$F$52)</f>
        <v>86.640572874279172</v>
      </c>
      <c r="H52" s="219">
        <f t="shared" ref="H52:O52" si="1">AVERAGE($C$52:$F$52)</f>
        <v>86.640572874279172</v>
      </c>
      <c r="I52" s="219">
        <f t="shared" si="1"/>
        <v>86.640572874279172</v>
      </c>
      <c r="J52" s="219">
        <f t="shared" si="1"/>
        <v>86.640572874279172</v>
      </c>
      <c r="K52" s="219">
        <f t="shared" si="1"/>
        <v>86.640572874279172</v>
      </c>
      <c r="L52" s="219">
        <f t="shared" si="1"/>
        <v>86.640572874279172</v>
      </c>
      <c r="M52" s="219">
        <f t="shared" si="1"/>
        <v>86.640572874279172</v>
      </c>
      <c r="N52" s="219">
        <f t="shared" si="1"/>
        <v>86.640572874279172</v>
      </c>
      <c r="O52" s="219">
        <f t="shared" si="1"/>
        <v>86.640572874279172</v>
      </c>
      <c r="P52" s="215"/>
      <c r="Q52" s="65"/>
    </row>
    <row r="53" spans="1:17" x14ac:dyDescent="0.35">
      <c r="A53" s="66"/>
      <c r="B53" s="220"/>
      <c r="C53" s="221"/>
      <c r="D53" s="221"/>
      <c r="E53" s="221"/>
      <c r="F53" s="221"/>
      <c r="G53" s="221"/>
      <c r="H53" s="221"/>
      <c r="I53" s="221"/>
      <c r="J53" s="221"/>
      <c r="K53" s="221"/>
      <c r="L53" s="221"/>
      <c r="M53" s="221"/>
      <c r="N53" s="221"/>
      <c r="O53" s="184"/>
      <c r="Q53" s="65"/>
    </row>
    <row r="54" spans="1:17" x14ac:dyDescent="0.35">
      <c r="A54" s="66"/>
      <c r="B54" s="106" t="s">
        <v>104</v>
      </c>
      <c r="C54" s="187"/>
      <c r="D54" s="222"/>
      <c r="E54" s="221"/>
      <c r="F54" s="221"/>
      <c r="G54" s="221"/>
      <c r="H54" s="221"/>
      <c r="I54" s="221"/>
      <c r="J54" s="221"/>
      <c r="K54" s="221"/>
      <c r="L54" s="221"/>
      <c r="M54" s="221"/>
      <c r="N54" s="184"/>
      <c r="O54" s="184"/>
      <c r="Q54" s="65"/>
    </row>
    <row r="55" spans="1:17" ht="29" x14ac:dyDescent="0.35">
      <c r="A55" s="66"/>
      <c r="B55" s="178" t="s">
        <v>101</v>
      </c>
      <c r="C55" s="178" t="s">
        <v>105</v>
      </c>
      <c r="D55" s="178" t="s">
        <v>106</v>
      </c>
      <c r="E55" s="178" t="s">
        <v>107</v>
      </c>
      <c r="F55" s="178" t="s">
        <v>108</v>
      </c>
      <c r="G55" s="178" t="s">
        <v>109</v>
      </c>
      <c r="H55" s="178" t="s">
        <v>110</v>
      </c>
      <c r="I55" s="178" t="s">
        <v>111</v>
      </c>
      <c r="J55" s="178" t="s">
        <v>112</v>
      </c>
      <c r="K55" s="178" t="s">
        <v>113</v>
      </c>
      <c r="L55" s="185" t="s">
        <v>91</v>
      </c>
      <c r="M55" s="184"/>
      <c r="N55" s="184"/>
      <c r="O55" s="184"/>
      <c r="Q55" s="65"/>
    </row>
    <row r="56" spans="1:17" ht="15" customHeight="1" x14ac:dyDescent="0.35">
      <c r="A56" s="66"/>
      <c r="B56" s="214" t="s">
        <v>114</v>
      </c>
      <c r="C56" s="223">
        <f>C57*0</f>
        <v>0</v>
      </c>
      <c r="D56" s="223">
        <f>D57*0.6363*'Model input'!$C$21</f>
        <v>0.69993000000000005</v>
      </c>
      <c r="E56" s="223">
        <f>E57*(1 +((2.8888 - 1) * 'Model input'!$C$21))</f>
        <v>2.59992</v>
      </c>
      <c r="F56" s="223">
        <f>F57*(1 +((2.5384 - 1) * 'Model input'!$C$21))</f>
        <v>3.2999200000000002</v>
      </c>
      <c r="G56" s="223">
        <f>G57*(1 +((2.8 - 1) * 'Model input'!$C$21))</f>
        <v>2.8</v>
      </c>
      <c r="H56" s="223">
        <f>H57*(1 +((2 - 1) * 'Model input'!$C$21))</f>
        <v>2.6</v>
      </c>
      <c r="I56" s="223">
        <f>I57*(1 +((1.5625 - 1) * 'Model input'!$C$21))</f>
        <v>2.5</v>
      </c>
      <c r="J56" s="223">
        <f>J57*(1 +((1.5 - 1) * 'Model input'!$C$21))</f>
        <v>2.4000000000000004</v>
      </c>
      <c r="K56" s="223">
        <f>K57*(1 +((2 - 1) * 'Model input'!$C$21))</f>
        <v>2.2000000000000002</v>
      </c>
      <c r="L56" s="322" t="s">
        <v>115</v>
      </c>
      <c r="M56" s="184"/>
      <c r="N56" s="184"/>
      <c r="O56" s="184"/>
      <c r="Q56" s="65"/>
    </row>
    <row r="57" spans="1:17" x14ac:dyDescent="0.35">
      <c r="A57" s="66"/>
      <c r="B57" s="224" t="s">
        <v>116</v>
      </c>
      <c r="C57" s="223">
        <f>1.1*'Model input'!$C$19</f>
        <v>1.1000000000000001</v>
      </c>
      <c r="D57" s="223">
        <f>1.1*'Model input'!$C$19</f>
        <v>1.1000000000000001</v>
      </c>
      <c r="E57" s="223">
        <f>0.9*'Model input'!$C$19</f>
        <v>0.9</v>
      </c>
      <c r="F57" s="223">
        <f>1.3*'Model input'!$C$19</f>
        <v>1.3</v>
      </c>
      <c r="G57" s="223">
        <f>1*'Model input'!$C$19</f>
        <v>1</v>
      </c>
      <c r="H57" s="223">
        <f>1.3*'Model input'!$C$19</f>
        <v>1.3</v>
      </c>
      <c r="I57" s="223">
        <f>1.6*'Model input'!$C$19</f>
        <v>1.6</v>
      </c>
      <c r="J57" s="223">
        <f>1.6*'Model input'!$C$19</f>
        <v>1.6</v>
      </c>
      <c r="K57" s="223">
        <f>1.1*'Model input'!$C$19</f>
        <v>1.1000000000000001</v>
      </c>
      <c r="L57" s="323"/>
      <c r="M57" s="184"/>
      <c r="N57" s="184"/>
      <c r="O57" s="184"/>
      <c r="Q57" s="65"/>
    </row>
    <row r="58" spans="1:17" x14ac:dyDescent="0.35">
      <c r="A58" s="66"/>
      <c r="B58" s="225" t="s">
        <v>117</v>
      </c>
      <c r="C58" s="226">
        <f>C56-C57</f>
        <v>-1.1000000000000001</v>
      </c>
      <c r="D58" s="226">
        <f t="shared" ref="D58:K58" si="2">D56-D57</f>
        <v>-0.40007000000000004</v>
      </c>
      <c r="E58" s="226">
        <f t="shared" si="2"/>
        <v>1.6999200000000001</v>
      </c>
      <c r="F58" s="226">
        <f t="shared" si="2"/>
        <v>1.9999200000000001</v>
      </c>
      <c r="G58" s="226">
        <f t="shared" si="2"/>
        <v>1.7999999999999998</v>
      </c>
      <c r="H58" s="226">
        <f t="shared" si="2"/>
        <v>1.3</v>
      </c>
      <c r="I58" s="226">
        <f t="shared" si="2"/>
        <v>0.89999999999999991</v>
      </c>
      <c r="J58" s="226">
        <f t="shared" si="2"/>
        <v>0.80000000000000027</v>
      </c>
      <c r="K58" s="226">
        <f t="shared" si="2"/>
        <v>1.1000000000000001</v>
      </c>
      <c r="L58" s="323"/>
      <c r="M58" s="184"/>
      <c r="N58" s="221"/>
      <c r="O58" s="221"/>
      <c r="Q58" s="65"/>
    </row>
    <row r="59" spans="1:17" x14ac:dyDescent="0.35">
      <c r="A59" s="66"/>
      <c r="B59" s="186" t="s">
        <v>118</v>
      </c>
      <c r="C59" s="227">
        <f>C58/C57</f>
        <v>-1</v>
      </c>
      <c r="D59" s="227">
        <f t="shared" ref="D59:K59" si="3">D58/D57</f>
        <v>-0.36370000000000002</v>
      </c>
      <c r="E59" s="227">
        <f t="shared" si="3"/>
        <v>1.8888</v>
      </c>
      <c r="F59" s="227">
        <f t="shared" si="3"/>
        <v>1.5384</v>
      </c>
      <c r="G59" s="227">
        <f t="shared" si="3"/>
        <v>1.7999999999999998</v>
      </c>
      <c r="H59" s="227">
        <f t="shared" si="3"/>
        <v>1</v>
      </c>
      <c r="I59" s="227">
        <f t="shared" si="3"/>
        <v>0.56249999999999989</v>
      </c>
      <c r="J59" s="227">
        <f t="shared" si="3"/>
        <v>0.50000000000000011</v>
      </c>
      <c r="K59" s="227">
        <f t="shared" si="3"/>
        <v>1</v>
      </c>
      <c r="L59" s="324"/>
      <c r="M59" s="184"/>
      <c r="N59" s="221"/>
      <c r="O59" s="221"/>
      <c r="Q59" s="65"/>
    </row>
    <row r="60" spans="1:17" x14ac:dyDescent="0.35">
      <c r="A60" s="66"/>
      <c r="C60" s="184"/>
      <c r="D60" s="184"/>
      <c r="E60" s="184"/>
      <c r="F60" s="184"/>
      <c r="G60" s="184"/>
      <c r="H60" s="184"/>
      <c r="I60" s="184"/>
      <c r="J60" s="184"/>
      <c r="K60" s="184"/>
      <c r="L60" s="184"/>
      <c r="M60" s="184"/>
      <c r="N60" s="221"/>
      <c r="O60" s="221"/>
      <c r="Q60" s="65"/>
    </row>
    <row r="61" spans="1:17" x14ac:dyDescent="0.35">
      <c r="A61" s="66"/>
      <c r="B61" s="106" t="s">
        <v>119</v>
      </c>
      <c r="C61" s="184"/>
      <c r="D61" s="184"/>
      <c r="E61" s="184"/>
      <c r="F61" s="184"/>
      <c r="G61" s="184"/>
      <c r="H61" s="184"/>
      <c r="I61" s="184"/>
      <c r="J61" s="184"/>
      <c r="K61" s="184"/>
      <c r="L61" s="184"/>
      <c r="M61" s="184"/>
      <c r="N61" s="221"/>
      <c r="O61" s="221"/>
      <c r="Q61" s="65"/>
    </row>
    <row r="62" spans="1:17" x14ac:dyDescent="0.35">
      <c r="A62" s="66"/>
      <c r="B62" s="178" t="s">
        <v>101</v>
      </c>
      <c r="C62" s="178">
        <v>2021</v>
      </c>
      <c r="D62" s="178">
        <v>2022</v>
      </c>
      <c r="E62" s="178">
        <v>2023</v>
      </c>
      <c r="F62" s="178">
        <v>2024</v>
      </c>
      <c r="G62" s="178">
        <v>2025</v>
      </c>
      <c r="H62" s="178">
        <v>2026</v>
      </c>
      <c r="I62" s="178">
        <v>2027</v>
      </c>
      <c r="J62" s="178">
        <v>2028</v>
      </c>
      <c r="K62" s="178">
        <v>2029</v>
      </c>
      <c r="L62" s="178">
        <v>2030</v>
      </c>
      <c r="M62" s="178">
        <v>2031</v>
      </c>
      <c r="N62" s="178">
        <v>2032</v>
      </c>
      <c r="O62" s="184"/>
      <c r="Q62" s="65"/>
    </row>
    <row r="63" spans="1:17" x14ac:dyDescent="0.35">
      <c r="A63" s="66"/>
      <c r="B63" s="216" t="s">
        <v>120</v>
      </c>
      <c r="C63" s="217">
        <v>35</v>
      </c>
      <c r="D63" s="217">
        <v>50</v>
      </c>
      <c r="E63" s="217">
        <v>31</v>
      </c>
      <c r="F63" s="228">
        <v>67</v>
      </c>
      <c r="G63" s="228">
        <v>175</v>
      </c>
      <c r="H63" s="219">
        <f>AVERAGE($C$63:$G$63)*(1+'Model input'!$C$15)</f>
        <v>71.599999999999994</v>
      </c>
      <c r="I63" s="219">
        <f>AVERAGE($C$63:$G$63)*(1+'Model input'!$C$15)</f>
        <v>71.599999999999994</v>
      </c>
      <c r="J63" s="219">
        <f>AVERAGE($C$63:$G$63)*(1+'Model input'!$C$15)</f>
        <v>71.599999999999994</v>
      </c>
      <c r="K63" s="219">
        <f>AVERAGE($C$63:$G$63)*(1+'Model input'!$C$15)</f>
        <v>71.599999999999994</v>
      </c>
      <c r="L63" s="219">
        <f>AVERAGE($C$63:$G$63)*(1+'Model input'!$C$15)</f>
        <v>71.599999999999994</v>
      </c>
      <c r="M63" s="219">
        <f>AVERAGE($C$63:$G$63)*(1+'Model input'!$C$15)</f>
        <v>71.599999999999994</v>
      </c>
      <c r="N63" s="219">
        <f>AVERAGE($C$63:$G$63)*(1+'Model input'!$C$15)</f>
        <v>71.599999999999994</v>
      </c>
      <c r="O63" s="184"/>
      <c r="Q63" s="229"/>
    </row>
    <row r="64" spans="1:17" x14ac:dyDescent="0.35">
      <c r="A64" s="66"/>
      <c r="B64" s="216" t="s">
        <v>121</v>
      </c>
      <c r="C64" s="230">
        <f>C63/(D79/'Model input'!$E$79)</f>
        <v>46.672348549415332</v>
      </c>
      <c r="D64" s="230">
        <f>D63/(E79/'Model input'!$E$79)</f>
        <v>50</v>
      </c>
      <c r="E64" s="230">
        <f>E63/(F79/'Model input'!$E$79)</f>
        <v>23.449784096340277</v>
      </c>
      <c r="F64" s="230">
        <f>F63/(G79/'Model input'!$E$79)</f>
        <v>40.647825595642992</v>
      </c>
      <c r="G64" s="230">
        <f>G63/(H79/'Model input'!$E$79)</f>
        <v>85.812938096142076</v>
      </c>
      <c r="H64" s="219">
        <f>AVERAGE($C$64:$G$64)*(1+'Model input'!$C$15)</f>
        <v>49.316579267508132</v>
      </c>
      <c r="I64" s="219">
        <f>AVERAGE($C$64:$G$64)*(1+'Model input'!$C$15)</f>
        <v>49.316579267508132</v>
      </c>
      <c r="J64" s="219">
        <f>AVERAGE($C$64:$G$64)*(1+'Model input'!$C$15)</f>
        <v>49.316579267508132</v>
      </c>
      <c r="K64" s="219">
        <f>AVERAGE($C$64:$G$64)*(1+'Model input'!$C$15)</f>
        <v>49.316579267508132</v>
      </c>
      <c r="L64" s="219">
        <f>AVERAGE($C$64:$G$64)*(1+'Model input'!$C$15)</f>
        <v>49.316579267508132</v>
      </c>
      <c r="M64" s="219">
        <f>AVERAGE($C$64:$G$64)*(1+'Model input'!$C$15)</f>
        <v>49.316579267508132</v>
      </c>
      <c r="N64" s="219">
        <f>AVERAGE($C$64:$G$64)*(1+'Model input'!$C$15)</f>
        <v>49.316579267508132</v>
      </c>
      <c r="O64" s="184"/>
      <c r="Q64" s="65"/>
    </row>
    <row r="65" spans="1:17" x14ac:dyDescent="0.35">
      <c r="A65" s="66"/>
      <c r="B65" s="216" t="s">
        <v>122</v>
      </c>
      <c r="C65" s="230">
        <f>C63/(D79/'Model input'!$D$79)</f>
        <v>35</v>
      </c>
      <c r="D65" s="230">
        <f>D63/(E79/'Model input'!$D$79)</f>
        <v>37.495434757202126</v>
      </c>
      <c r="E65" s="230">
        <f>E63/(F79/'Model input'!$D$79)</f>
        <v>17.585196993096055</v>
      </c>
      <c r="F65" s="230">
        <f>F63/(G79/'Model input'!$D$79)</f>
        <v>30.482157852871246</v>
      </c>
      <c r="G65" s="230">
        <f>G63/(H79/'Model input'!$D$79)</f>
        <v>64.351868434154397</v>
      </c>
      <c r="H65" s="219">
        <f>AVERAGE($C$65:$G$65)*(1+'Model input'!$C$15)</f>
        <v>36.982931607464764</v>
      </c>
      <c r="I65" s="219">
        <f>AVERAGE($C$65:$G$65)*(1+'Model input'!$C$15)</f>
        <v>36.982931607464764</v>
      </c>
      <c r="J65" s="219">
        <f>AVERAGE($C$65:$G$65)*(1+'Model input'!$C$15)</f>
        <v>36.982931607464764</v>
      </c>
      <c r="K65" s="219">
        <f>AVERAGE($C$65:$G$65)*(1+'Model input'!$C$15)</f>
        <v>36.982931607464764</v>
      </c>
      <c r="L65" s="219">
        <f>AVERAGE($C$65:$G$65)*(1+'Model input'!$C$15)</f>
        <v>36.982931607464764</v>
      </c>
      <c r="M65" s="219">
        <f>AVERAGE($C$65:$G$65)*(1+'Model input'!$C$15)</f>
        <v>36.982931607464764</v>
      </c>
      <c r="N65" s="219">
        <f>AVERAGE($C$65:$G$65)*(1+'Model input'!$C$15)</f>
        <v>36.982931607464764</v>
      </c>
      <c r="O65" s="184"/>
      <c r="P65" s="231"/>
      <c r="Q65" s="229"/>
    </row>
    <row r="66" spans="1:17" x14ac:dyDescent="0.35">
      <c r="Q66" s="65"/>
    </row>
    <row r="67" spans="1:17" ht="18" x14ac:dyDescent="0.4">
      <c r="A67" s="67"/>
      <c r="B67" s="163" t="s">
        <v>243</v>
      </c>
      <c r="C67" s="134"/>
      <c r="D67" s="103"/>
      <c r="E67" s="114"/>
      <c r="F67" s="12"/>
      <c r="G67" s="12"/>
      <c r="H67" s="12"/>
      <c r="I67" s="12"/>
      <c r="J67" s="12"/>
      <c r="K67" s="12"/>
      <c r="L67" s="12"/>
      <c r="M67" s="12"/>
      <c r="N67" s="12"/>
      <c r="O67" s="12"/>
      <c r="P67" s="12"/>
      <c r="Q67" s="69"/>
    </row>
    <row r="68" spans="1:17" ht="18" x14ac:dyDescent="0.4">
      <c r="A68" s="66"/>
      <c r="B68" s="102"/>
      <c r="F68" s="79"/>
      <c r="Q68" s="65"/>
    </row>
    <row r="69" spans="1:17" ht="15.5" x14ac:dyDescent="0.35">
      <c r="A69" s="66"/>
      <c r="B69" s="101"/>
      <c r="C69" s="101" t="s">
        <v>67</v>
      </c>
      <c r="D69" s="101" t="s">
        <v>69</v>
      </c>
      <c r="E69" s="101" t="s">
        <v>163</v>
      </c>
      <c r="F69" s="79"/>
      <c r="Q69" s="65"/>
    </row>
    <row r="70" spans="1:17" ht="15" thickBot="1" x14ac:dyDescent="0.4">
      <c r="A70" s="66"/>
      <c r="B70" s="243" t="s">
        <v>164</v>
      </c>
      <c r="C70" s="250">
        <v>6000</v>
      </c>
      <c r="D70" s="251">
        <v>9760</v>
      </c>
      <c r="E70" s="250">
        <f>SUM(C70:D70)</f>
        <v>15760</v>
      </c>
      <c r="F70" s="79"/>
      <c r="Q70" s="65"/>
    </row>
    <row r="71" spans="1:17" ht="15" thickBot="1" x14ac:dyDescent="0.4">
      <c r="A71" s="66"/>
      <c r="B71" s="243" t="s">
        <v>165</v>
      </c>
      <c r="C71" s="252">
        <v>8336</v>
      </c>
      <c r="D71" s="253">
        <f>'Sensitivity Analysis'!C7</f>
        <v>16467</v>
      </c>
      <c r="E71" s="254">
        <f>SUM(C71:D71)</f>
        <v>24803</v>
      </c>
      <c r="F71" s="79"/>
      <c r="Q71" s="65"/>
    </row>
    <row r="72" spans="1:17" x14ac:dyDescent="0.35">
      <c r="A72" s="66"/>
      <c r="B72" s="255" t="s">
        <v>166</v>
      </c>
      <c r="C72" s="256">
        <v>4916</v>
      </c>
      <c r="D72" s="257">
        <v>10573</v>
      </c>
      <c r="E72" s="256">
        <f>SUM(C72:D72)</f>
        <v>15489</v>
      </c>
      <c r="F72" s="79"/>
      <c r="Q72" s="65"/>
    </row>
    <row r="73" spans="1:17" ht="13.5" customHeight="1" x14ac:dyDescent="0.35">
      <c r="A73" s="66"/>
      <c r="B73" s="325" t="s">
        <v>167</v>
      </c>
      <c r="C73" s="325"/>
      <c r="D73" s="325"/>
      <c r="E73" s="325"/>
      <c r="J73" s="10"/>
      <c r="Q73" s="65"/>
    </row>
    <row r="74" spans="1:17" x14ac:dyDescent="0.35">
      <c r="A74" s="66"/>
      <c r="B74" s="220"/>
      <c r="C74" s="77"/>
      <c r="D74" s="77"/>
      <c r="E74" s="77"/>
      <c r="F74" s="77"/>
      <c r="G74" s="77"/>
      <c r="H74" s="77"/>
      <c r="I74" s="231"/>
      <c r="J74" s="231"/>
      <c r="K74" s="231"/>
      <c r="L74" s="231"/>
      <c r="M74" s="231"/>
      <c r="N74" s="231"/>
      <c r="O74" s="231"/>
      <c r="Q74" s="65"/>
    </row>
    <row r="75" spans="1:17" ht="18" x14ac:dyDescent="0.4">
      <c r="A75" s="104"/>
      <c r="B75" s="161" t="s">
        <v>244</v>
      </c>
      <c r="C75" s="12"/>
      <c r="D75" s="12"/>
      <c r="E75" s="12"/>
      <c r="F75" s="12"/>
      <c r="G75" s="12"/>
      <c r="H75" s="12"/>
      <c r="I75" s="12"/>
      <c r="J75" s="12"/>
      <c r="K75" s="12"/>
      <c r="L75" s="12"/>
      <c r="M75" s="12"/>
      <c r="N75" s="12"/>
      <c r="O75" s="12"/>
      <c r="P75" s="12"/>
      <c r="Q75" s="69"/>
    </row>
    <row r="76" spans="1:17" ht="18" x14ac:dyDescent="0.4">
      <c r="A76" s="66"/>
      <c r="B76" s="102"/>
      <c r="C76" s="102"/>
      <c r="D76" s="102"/>
      <c r="E76" s="102"/>
      <c r="F76" s="102"/>
      <c r="G76" s="102"/>
      <c r="H76" s="102"/>
      <c r="I76" s="102"/>
      <c r="J76" s="102"/>
      <c r="K76" s="102"/>
      <c r="L76" s="102"/>
      <c r="M76" s="102"/>
      <c r="N76" s="102"/>
      <c r="O76" s="102"/>
      <c r="P76" s="102"/>
      <c r="Q76" s="91"/>
    </row>
    <row r="77" spans="1:17" x14ac:dyDescent="0.35">
      <c r="A77" s="66"/>
      <c r="B77" s="110" t="s">
        <v>123</v>
      </c>
      <c r="Q77" s="65"/>
    </row>
    <row r="78" spans="1:17" x14ac:dyDescent="0.35">
      <c r="A78" s="66"/>
      <c r="B78" s="177" t="s">
        <v>101</v>
      </c>
      <c r="C78" s="175">
        <v>2020</v>
      </c>
      <c r="D78" s="175">
        <v>2021</v>
      </c>
      <c r="E78" s="175">
        <v>2022</v>
      </c>
      <c r="F78" s="175">
        <v>2023</v>
      </c>
      <c r="G78" s="175">
        <v>2024</v>
      </c>
      <c r="H78" s="175">
        <v>2025</v>
      </c>
      <c r="I78" s="175" t="s">
        <v>124</v>
      </c>
      <c r="Q78" s="65"/>
    </row>
    <row r="79" spans="1:17" s="13" customFormat="1" x14ac:dyDescent="0.35">
      <c r="A79" s="70"/>
      <c r="B79" s="168" t="s">
        <v>125</v>
      </c>
      <c r="C79" s="180">
        <v>169.60599999999999</v>
      </c>
      <c r="D79" s="180">
        <v>205.33099999999999</v>
      </c>
      <c r="E79" s="180">
        <v>273.80799999999999</v>
      </c>
      <c r="F79" s="180">
        <v>361.96699999999998</v>
      </c>
      <c r="G79" s="180">
        <v>451.31900000000002</v>
      </c>
      <c r="H79" s="232">
        <v>558.38199999999995</v>
      </c>
      <c r="I79" s="192" t="s">
        <v>126</v>
      </c>
      <c r="J79"/>
      <c r="N79"/>
      <c r="O79"/>
      <c r="P79"/>
      <c r="Q79" s="65"/>
    </row>
    <row r="80" spans="1:17" s="13" customFormat="1" x14ac:dyDescent="0.35">
      <c r="A80" s="70"/>
      <c r="B80" s="168" t="s">
        <v>127</v>
      </c>
      <c r="C80" s="180">
        <v>100.003</v>
      </c>
      <c r="D80" s="180">
        <v>102.80500000000001</v>
      </c>
      <c r="E80" s="180">
        <v>109.071</v>
      </c>
      <c r="F80" s="180">
        <v>115.768</v>
      </c>
      <c r="G80" s="180">
        <v>119.355</v>
      </c>
      <c r="H80" s="179">
        <v>122.208</v>
      </c>
      <c r="I80" s="120"/>
      <c r="J80"/>
      <c r="N80"/>
      <c r="O80"/>
      <c r="P80"/>
      <c r="Q80" s="65"/>
    </row>
    <row r="81" spans="1:17" s="13" customFormat="1" x14ac:dyDescent="0.35">
      <c r="A81" s="70"/>
      <c r="C81" s="165"/>
      <c r="D81" s="165"/>
      <c r="E81" s="165"/>
      <c r="F81" s="165"/>
      <c r="G81" s="165"/>
      <c r="H81" s="165"/>
      <c r="I81" s="165"/>
      <c r="J81"/>
      <c r="N81"/>
      <c r="O81"/>
      <c r="P81"/>
      <c r="Q81" s="65"/>
    </row>
    <row r="82" spans="1:17" x14ac:dyDescent="0.35">
      <c r="A82" s="66"/>
      <c r="B82" s="233"/>
      <c r="C82" s="233"/>
      <c r="D82" s="233"/>
      <c r="Q82" s="65"/>
    </row>
    <row r="83" spans="1:17" x14ac:dyDescent="0.35">
      <c r="A83" s="66"/>
      <c r="B83" s="110" t="s">
        <v>128</v>
      </c>
      <c r="E83" s="233"/>
      <c r="Q83" s="65"/>
    </row>
    <row r="84" spans="1:17" x14ac:dyDescent="0.35">
      <c r="A84" s="66"/>
      <c r="B84" s="177" t="s">
        <v>101</v>
      </c>
      <c r="C84" s="177"/>
      <c r="D84" s="177">
        <v>2021</v>
      </c>
      <c r="E84" s="177" t="s">
        <v>91</v>
      </c>
      <c r="Q84" s="65"/>
    </row>
    <row r="85" spans="1:17" x14ac:dyDescent="0.35">
      <c r="A85" s="66"/>
      <c r="B85" s="224" t="s">
        <v>129</v>
      </c>
      <c r="C85" s="224" t="s">
        <v>130</v>
      </c>
      <c r="D85" s="234">
        <v>1.9400000000000001E-2</v>
      </c>
      <c r="E85" s="193" t="s">
        <v>131</v>
      </c>
      <c r="F85" s="233"/>
      <c r="G85" s="233"/>
      <c r="J85" s="233"/>
      <c r="K85" s="233"/>
      <c r="L85" s="233"/>
      <c r="Q85" s="65"/>
    </row>
    <row r="86" spans="1:17" x14ac:dyDescent="0.35">
      <c r="A86" s="66"/>
      <c r="E86" s="233"/>
      <c r="F86" s="233"/>
      <c r="G86" s="233"/>
      <c r="J86" s="233"/>
      <c r="K86" s="233"/>
      <c r="L86" s="233"/>
      <c r="Q86" s="65"/>
    </row>
    <row r="87" spans="1:17" x14ac:dyDescent="0.35">
      <c r="A87" s="66"/>
      <c r="B87" s="111"/>
      <c r="E87" s="233"/>
      <c r="F87" s="233"/>
      <c r="G87" s="233"/>
      <c r="J87" s="233"/>
      <c r="K87" s="233"/>
      <c r="L87" s="233"/>
      <c r="Q87" s="65"/>
    </row>
    <row r="88" spans="1:17" x14ac:dyDescent="0.35">
      <c r="A88" s="71"/>
      <c r="B88" s="213" t="s">
        <v>73</v>
      </c>
      <c r="C88" s="72"/>
      <c r="D88" s="72"/>
      <c r="E88" s="235"/>
      <c r="F88" s="235"/>
      <c r="G88" s="235"/>
      <c r="H88" s="72"/>
      <c r="I88" s="72"/>
      <c r="J88" s="235"/>
      <c r="K88" s="235"/>
      <c r="L88" s="235"/>
      <c r="M88" s="72"/>
      <c r="N88" s="72"/>
      <c r="O88" s="72"/>
      <c r="P88" s="72"/>
      <c r="Q88" s="73"/>
    </row>
  </sheetData>
  <mergeCells count="6">
    <mergeCell ref="L56:L59"/>
    <mergeCell ref="B73:E73"/>
    <mergeCell ref="E3:J3"/>
    <mergeCell ref="E4:J4"/>
    <mergeCell ref="E5:J5"/>
    <mergeCell ref="D45:D47"/>
  </mergeCells>
  <conditionalFormatting sqref="B44:D44">
    <cfRule type="cellIs" dxfId="13" priority="6" operator="lessThan">
      <formula>0</formula>
    </cfRule>
  </conditionalFormatting>
  <conditionalFormatting sqref="B27:E27 B33:F33">
    <cfRule type="cellIs" dxfId="12" priority="5" operator="lessThan">
      <formula>0</formula>
    </cfRule>
  </conditionalFormatting>
  <conditionalFormatting sqref="B69:E69 B70:B71">
    <cfRule type="cellIs" dxfId="11" priority="1" operator="lessThan">
      <formula>0</formula>
    </cfRule>
  </conditionalFormatting>
  <conditionalFormatting sqref="B39:F39">
    <cfRule type="cellIs" dxfId="10" priority="3" operator="lessThan">
      <formula>0</formula>
    </cfRule>
  </conditionalFormatting>
  <conditionalFormatting sqref="C40">
    <cfRule type="cellIs" dxfId="9" priority="2" operator="lessThan">
      <formula>0</formula>
    </cfRule>
  </conditionalFormatting>
  <hyperlinks>
    <hyperlink ref="E85" r:id="rId1" xr:uid="{D9E63CC1-B2AA-4399-AD1D-C04066017041}"/>
    <hyperlink ref="I79" r:id="rId2" xr:uid="{A1E58249-D84E-4B21-AF27-6ED4ECAFEC07}"/>
    <hyperlink ref="B24" r:id="rId3" xr:uid="{0C0A5420-633F-4B43-B863-A0B9821E0B80}"/>
    <hyperlink ref="E40" r:id="rId4" xr:uid="{A8557A7E-42E2-462B-A9D8-B11A407F025D}"/>
    <hyperlink ref="E28" r:id="rId5" xr:uid="{D808D756-7F59-4ECA-9E4F-73F7F7D7E70F}"/>
    <hyperlink ref="E29" r:id="rId6" xr:uid="{07F57178-DA52-4DB7-A7CD-E169D1B1D6AF}"/>
    <hyperlink ref="F34" r:id="rId7" xr:uid="{A976C8E0-128C-4AA7-833B-C7AB36FF42CD}"/>
    <hyperlink ref="F35" r:id="rId8" xr:uid="{BFA01BF2-D393-49A1-9A27-6BB4A8A7950A}"/>
  </hyperlinks>
  <pageMargins left="0.7" right="0.7" top="0.75" bottom="0.75" header="0.3" footer="0.3"/>
  <pageSetup paperSize="9" scale="39" orientation="portrait" horizontalDpi="1200" verticalDpi="1200" r:id="rId9"/>
  <legacy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Y172"/>
  <sheetViews>
    <sheetView showGridLines="0" topLeftCell="A12" zoomScaleNormal="100" zoomScaleSheetLayoutView="55" workbookViewId="0">
      <selection activeCell="B109" sqref="B109"/>
    </sheetView>
  </sheetViews>
  <sheetFormatPr baseColWidth="10" defaultColWidth="11.453125" defaultRowHeight="14.5" x14ac:dyDescent="0.35"/>
  <cols>
    <col min="1" max="1" width="4.81640625" customWidth="1"/>
    <col min="2" max="2" width="57.54296875" customWidth="1"/>
    <col min="3" max="3" width="43" style="14" customWidth="1"/>
    <col min="4" max="4" width="13.54296875" customWidth="1"/>
    <col min="5" max="5" width="11.453125" customWidth="1"/>
    <col min="6" max="6" width="12.54296875" customWidth="1"/>
    <col min="7" max="7" width="13.54296875" customWidth="1"/>
    <col min="8" max="8" width="12.54296875" customWidth="1"/>
    <col min="9" max="9" width="13.453125" customWidth="1"/>
    <col min="10" max="10" width="12.453125" customWidth="1"/>
    <col min="11" max="13" width="11.453125" customWidth="1"/>
    <col min="14" max="14" width="14.1796875" customWidth="1"/>
    <col min="15" max="25" width="11.453125" customWidth="1"/>
  </cols>
  <sheetData>
    <row r="1" spans="1:25" ht="18" x14ac:dyDescent="0.4">
      <c r="A1" s="67"/>
      <c r="B1" s="163" t="s">
        <v>245</v>
      </c>
      <c r="C1" s="134"/>
      <c r="D1" s="103"/>
      <c r="E1" s="114"/>
      <c r="F1" s="12"/>
      <c r="G1" s="12"/>
      <c r="H1" s="12"/>
      <c r="I1" s="12"/>
      <c r="J1" s="12"/>
      <c r="K1" s="12"/>
      <c r="L1" s="12"/>
      <c r="M1" s="12"/>
      <c r="N1" s="12"/>
      <c r="O1" s="12"/>
      <c r="P1" s="12"/>
      <c r="Q1" s="12"/>
      <c r="R1" s="12"/>
      <c r="S1" s="12"/>
      <c r="T1" s="12"/>
      <c r="U1" s="12"/>
      <c r="V1" s="12"/>
      <c r="W1" s="12"/>
      <c r="X1" s="12"/>
      <c r="Y1" s="69"/>
    </row>
    <row r="2" spans="1:25" ht="13" customHeight="1" x14ac:dyDescent="0.45">
      <c r="A2" s="66"/>
      <c r="B2" s="116"/>
      <c r="Y2" s="65"/>
    </row>
    <row r="3" spans="1:25" ht="20.5" x14ac:dyDescent="0.45">
      <c r="A3" s="66"/>
      <c r="B3" s="117" t="s">
        <v>168</v>
      </c>
      <c r="O3" s="9" t="s">
        <v>169</v>
      </c>
      <c r="P3" s="9"/>
      <c r="Q3" s="9"/>
      <c r="R3" s="9"/>
      <c r="S3" s="9"/>
      <c r="T3" s="9"/>
      <c r="U3" s="9"/>
      <c r="V3" s="9"/>
      <c r="W3" s="9"/>
      <c r="X3" s="9"/>
      <c r="Y3" s="89"/>
    </row>
    <row r="4" spans="1:25" s="1" customFormat="1" ht="16" thickBot="1" x14ac:dyDescent="0.4">
      <c r="A4" s="258"/>
      <c r="B4" s="101" t="s">
        <v>101</v>
      </c>
      <c r="C4" s="196"/>
      <c r="D4" s="310">
        <v>2022</v>
      </c>
      <c r="E4" s="195">
        <v>2023</v>
      </c>
      <c r="F4" s="195">
        <v>2024</v>
      </c>
      <c r="G4" s="195">
        <v>2025</v>
      </c>
      <c r="H4" s="195">
        <v>2026</v>
      </c>
      <c r="I4" s="195">
        <v>2027</v>
      </c>
      <c r="J4" s="195">
        <v>2028</v>
      </c>
      <c r="K4" s="195">
        <v>2029</v>
      </c>
      <c r="L4" s="195">
        <v>2030</v>
      </c>
      <c r="M4" s="195">
        <v>2031</v>
      </c>
      <c r="N4" s="236"/>
      <c r="O4" s="8"/>
      <c r="P4" s="4">
        <v>2022</v>
      </c>
      <c r="Q4" s="4">
        <v>2023</v>
      </c>
      <c r="R4" s="4">
        <v>2024</v>
      </c>
      <c r="S4" s="4">
        <v>2025</v>
      </c>
      <c r="T4" s="4">
        <v>2026</v>
      </c>
      <c r="U4" s="4">
        <v>2027</v>
      </c>
      <c r="V4" s="4">
        <v>2028</v>
      </c>
      <c r="W4" s="4">
        <v>2029</v>
      </c>
      <c r="X4" s="4">
        <v>2030</v>
      </c>
      <c r="Y4" s="4">
        <v>2031</v>
      </c>
    </row>
    <row r="5" spans="1:25" s="2" customFormat="1" ht="15" thickBot="1" x14ac:dyDescent="0.4">
      <c r="A5" s="135"/>
      <c r="B5" s="343" t="s">
        <v>170</v>
      </c>
      <c r="C5" s="308" t="s">
        <v>171</v>
      </c>
      <c r="D5" s="312">
        <f>'Sensitivity Analysis'!C9</f>
        <v>0.34</v>
      </c>
      <c r="E5" s="309">
        <v>0.34</v>
      </c>
      <c r="F5" s="259">
        <v>0.34</v>
      </c>
      <c r="G5" s="260">
        <f>F5-F5*'Model input'!C23</f>
        <v>0.31518000000000002</v>
      </c>
      <c r="H5" s="260">
        <f>G5-G5*0.073*'Model input'!C23</f>
        <v>0.31350040577999999</v>
      </c>
      <c r="I5" s="260">
        <f>H5-H5*0.073*'Model input'!C23</f>
        <v>0.31182976211759839</v>
      </c>
      <c r="J5" s="260">
        <f>I5-I5*'Model input'!C23</f>
        <v>0.28906618948301371</v>
      </c>
      <c r="K5" s="260">
        <f>J5-J5*'Model input'!C23</f>
        <v>0.26796435765075372</v>
      </c>
      <c r="L5" s="260">
        <f>K5-K5*'Model input'!C23</f>
        <v>0.2484029595422487</v>
      </c>
      <c r="M5" s="260">
        <f>L5-L5*'Model input'!C23</f>
        <v>0.23026954349566453</v>
      </c>
      <c r="O5" s="3" t="s">
        <v>172</v>
      </c>
      <c r="P5" s="5">
        <f t="shared" ref="P5:Y5" si="0">D15</f>
        <v>43.068799999999996</v>
      </c>
      <c r="Q5" s="5">
        <f t="shared" si="0"/>
        <v>53.392000000000003</v>
      </c>
      <c r="R5" s="5">
        <f t="shared" si="0"/>
        <v>54.092999999999996</v>
      </c>
      <c r="S5" s="5">
        <f t="shared" si="0"/>
        <v>12.857489999999999</v>
      </c>
      <c r="T5" s="5">
        <f t="shared" si="0"/>
        <v>11.048814024209999</v>
      </c>
      <c r="U5" s="5">
        <f t="shared" si="0"/>
        <v>9.4945663066103556</v>
      </c>
      <c r="V5" s="5">
        <f t="shared" si="0"/>
        <v>8.1589561696931696</v>
      </c>
      <c r="W5" s="5">
        <f t="shared" si="0"/>
        <v>7.0112276463462626</v>
      </c>
      <c r="X5" s="5">
        <f t="shared" si="0"/>
        <v>6.024951242107087</v>
      </c>
      <c r="Y5" s="5">
        <f t="shared" si="0"/>
        <v>5.1774153259286422</v>
      </c>
    </row>
    <row r="6" spans="1:25" s="2" customFormat="1" ht="14.5" customHeight="1" x14ac:dyDescent="0.35">
      <c r="A6" s="135"/>
      <c r="B6" s="344"/>
      <c r="C6" s="214" t="s">
        <v>173</v>
      </c>
      <c r="D6" s="311">
        <f>D5*'Model input'!$C$29*'Model input'!$C$28*'Model input'!$C$17</f>
        <v>15.3</v>
      </c>
      <c r="E6" s="261">
        <f>E5*'Model input'!$C$29*'Model input'!$C$28*'Model input'!$C$17</f>
        <v>15.3</v>
      </c>
      <c r="F6" s="261">
        <f>F5*'Model input'!$C$29*'Model input'!$C$28*'Model input'!$C$17</f>
        <v>15.3</v>
      </c>
      <c r="G6" s="262">
        <f>G5*'Model input'!$C$29*'Model input'!$C$28*'Model input'!$C$17</f>
        <v>14.183100000000003</v>
      </c>
      <c r="H6" s="262">
        <f>H5*'Model input'!$C$29*'Model input'!$C$28*'Model input'!$C$17</f>
        <v>14.107518260100001</v>
      </c>
      <c r="I6" s="262">
        <f>I5*'Model input'!$C$29*'Model input'!$C$28*'Model input'!$C$17</f>
        <v>14.032339295291928</v>
      </c>
      <c r="J6" s="262">
        <f>J5*'Model input'!$C$29*'Model input'!$C$28*'Model input'!$C$17</f>
        <v>13.007978526735616</v>
      </c>
      <c r="K6" s="262">
        <f>K5*'Model input'!$C$29*'Model input'!$C$28*'Model input'!$C$17</f>
        <v>12.058396094283918</v>
      </c>
      <c r="L6" s="262">
        <f>L5*'Model input'!$C$29*'Model input'!$C$28*'Model input'!$C$17</f>
        <v>11.178133179401193</v>
      </c>
      <c r="M6" s="262">
        <f>M5*'Model input'!$C$29*'Model input'!$C$28*'Model input'!$C$17</f>
        <v>10.362129457304905</v>
      </c>
      <c r="O6" s="3" t="s">
        <v>174</v>
      </c>
      <c r="P6" s="5">
        <v>0</v>
      </c>
      <c r="Q6" s="5">
        <f t="shared" ref="Q6:Y13" si="1">P5</f>
        <v>43.068799999999996</v>
      </c>
      <c r="R6" s="5">
        <f t="shared" si="1"/>
        <v>53.392000000000003</v>
      </c>
      <c r="S6" s="5">
        <f t="shared" si="1"/>
        <v>54.092999999999996</v>
      </c>
      <c r="T6" s="5">
        <f t="shared" si="1"/>
        <v>12.857489999999999</v>
      </c>
      <c r="U6" s="5">
        <f t="shared" si="1"/>
        <v>11.048814024209999</v>
      </c>
      <c r="V6" s="5">
        <f t="shared" si="1"/>
        <v>9.4945663066103556</v>
      </c>
      <c r="W6" s="5">
        <f t="shared" si="1"/>
        <v>8.1589561696931696</v>
      </c>
      <c r="X6" s="5">
        <f t="shared" si="1"/>
        <v>7.0112276463462626</v>
      </c>
      <c r="Y6" s="5">
        <f t="shared" si="1"/>
        <v>6.024951242107087</v>
      </c>
    </row>
    <row r="7" spans="1:25" s="2" customFormat="1" ht="14.5" customHeight="1" x14ac:dyDescent="0.35">
      <c r="A7" s="135"/>
      <c r="B7" s="344"/>
      <c r="C7" s="214" t="s">
        <v>175</v>
      </c>
      <c r="D7" s="263">
        <f>D6/'Model input'!$C$45</f>
        <v>0.30599999999999999</v>
      </c>
      <c r="E7" s="263">
        <f>E6/'Model input'!$C$45</f>
        <v>0.30599999999999999</v>
      </c>
      <c r="F7" s="263">
        <f>F6/'Model input'!$C$45</f>
        <v>0.30599999999999999</v>
      </c>
      <c r="G7" s="263">
        <f>G6/'Model input'!$C$45</f>
        <v>0.28366200000000008</v>
      </c>
      <c r="H7" s="263">
        <f>H6/'Model input'!$C$45</f>
        <v>0.28215036520200004</v>
      </c>
      <c r="I7" s="263">
        <f>I6/'Model input'!$C$45</f>
        <v>0.28064678590583858</v>
      </c>
      <c r="J7" s="263">
        <f>J6/'Model input'!$C$45</f>
        <v>0.26015957053471234</v>
      </c>
      <c r="K7" s="263">
        <f>K6/'Model input'!$C$45</f>
        <v>0.24116792188567834</v>
      </c>
      <c r="L7" s="263">
        <f>L6/'Model input'!$C$45</f>
        <v>0.22356266358802387</v>
      </c>
      <c r="M7" s="263">
        <f>M6/'Model input'!$C$45</f>
        <v>0.20724258914609808</v>
      </c>
      <c r="O7" s="3" t="s">
        <v>107</v>
      </c>
      <c r="P7" s="5">
        <v>0</v>
      </c>
      <c r="Q7" s="5">
        <f t="shared" si="1"/>
        <v>0</v>
      </c>
      <c r="R7" s="5">
        <f t="shared" si="1"/>
        <v>43.068799999999996</v>
      </c>
      <c r="S7" s="5">
        <f t="shared" si="1"/>
        <v>53.392000000000003</v>
      </c>
      <c r="T7" s="5">
        <f t="shared" si="1"/>
        <v>54.092999999999996</v>
      </c>
      <c r="U7" s="5">
        <f t="shared" si="1"/>
        <v>12.857489999999999</v>
      </c>
      <c r="V7" s="5">
        <f t="shared" si="1"/>
        <v>11.048814024209999</v>
      </c>
      <c r="W7" s="5">
        <f t="shared" si="1"/>
        <v>9.4945663066103556</v>
      </c>
      <c r="X7" s="5">
        <f t="shared" si="1"/>
        <v>8.1589561696931696</v>
      </c>
      <c r="Y7" s="5">
        <f t="shared" si="1"/>
        <v>7.0112276463462626</v>
      </c>
    </row>
    <row r="8" spans="1:25" s="2" customFormat="1" ht="14.5" customHeight="1" x14ac:dyDescent="0.35">
      <c r="A8" s="135"/>
      <c r="B8" s="344"/>
      <c r="C8" s="214" t="s">
        <v>176</v>
      </c>
      <c r="D8" s="264">
        <f>D7*'Model input'!E52</f>
        <v>27.077703164261088</v>
      </c>
      <c r="E8" s="264">
        <f>E7*'Model input'!F52</f>
        <v>29.509095083253445</v>
      </c>
      <c r="F8" s="264">
        <f>F7*'Model input'!G52</f>
        <v>26.512015299529427</v>
      </c>
      <c r="G8" s="264">
        <f>G7*'Model input'!H52</f>
        <v>24.576638182663785</v>
      </c>
      <c r="H8" s="264">
        <f>H7*'Model input'!I52</f>
        <v>24.445669277788365</v>
      </c>
      <c r="I8" s="264">
        <f>I7*'Model input'!J52</f>
        <v>24.315398306207033</v>
      </c>
      <c r="J8" s="264">
        <f>J7*'Model input'!K52</f>
        <v>22.540374229853917</v>
      </c>
      <c r="K8" s="264">
        <f>K7*'Model input'!L52</f>
        <v>20.894926911074581</v>
      </c>
      <c r="L8" s="264">
        <f>L7*'Model input'!M52</f>
        <v>19.369597246566141</v>
      </c>
      <c r="M8" s="264">
        <f>M7*'Model input'!N52</f>
        <v>17.95561664756681</v>
      </c>
      <c r="O8" s="3" t="s">
        <v>108</v>
      </c>
      <c r="P8" s="5">
        <v>0</v>
      </c>
      <c r="Q8" s="5">
        <f t="shared" si="1"/>
        <v>0</v>
      </c>
      <c r="R8" s="5">
        <f t="shared" si="1"/>
        <v>0</v>
      </c>
      <c r="S8" s="5">
        <f t="shared" si="1"/>
        <v>43.068799999999996</v>
      </c>
      <c r="T8" s="5">
        <f t="shared" si="1"/>
        <v>53.392000000000003</v>
      </c>
      <c r="U8" s="5">
        <f t="shared" si="1"/>
        <v>54.092999999999996</v>
      </c>
      <c r="V8" s="5">
        <f t="shared" si="1"/>
        <v>12.857489999999999</v>
      </c>
      <c r="W8" s="5">
        <f t="shared" si="1"/>
        <v>11.048814024209999</v>
      </c>
      <c r="X8" s="5">
        <f t="shared" si="1"/>
        <v>9.4945663066103556</v>
      </c>
      <c r="Y8" s="5">
        <f t="shared" si="1"/>
        <v>8.1589561696931696</v>
      </c>
    </row>
    <row r="9" spans="1:25" s="2" customFormat="1" ht="14.5" customHeight="1" x14ac:dyDescent="0.35">
      <c r="A9" s="135"/>
      <c r="B9" s="344"/>
      <c r="C9" s="224" t="s">
        <v>177</v>
      </c>
      <c r="D9" s="264">
        <f>D6*'Model input'!D65</f>
        <v>573.68015178519261</v>
      </c>
      <c r="E9" s="264">
        <f>E6*'Model input'!E65</f>
        <v>269.05351399436967</v>
      </c>
      <c r="F9" s="264">
        <f>F6*'Model input'!F65</f>
        <v>466.37701514893007</v>
      </c>
      <c r="G9" s="264">
        <f>G6*'Model input'!G65</f>
        <v>912.70898518845547</v>
      </c>
      <c r="H9" s="264">
        <f>H6*'Model input'!H65</f>
        <v>521.73738296433862</v>
      </c>
      <c r="I9" s="264">
        <f>I6*'Model input'!I65</f>
        <v>518.95704445052172</v>
      </c>
      <c r="J9" s="264">
        <f>J6*'Model input'!J65</f>
        <v>481.07318020563355</v>
      </c>
      <c r="K9" s="264">
        <f>K6*'Model input'!K65</f>
        <v>445.95483805062236</v>
      </c>
      <c r="L9" s="264">
        <f>L6*'Model input'!L65</f>
        <v>413.40013487292697</v>
      </c>
      <c r="M9" s="264">
        <f>M6*'Model input'!M65</f>
        <v>383.22192502720327</v>
      </c>
      <c r="O9" s="3" t="s">
        <v>109</v>
      </c>
      <c r="P9" s="5">
        <v>0</v>
      </c>
      <c r="Q9" s="5">
        <f t="shared" si="1"/>
        <v>0</v>
      </c>
      <c r="R9" s="5">
        <f t="shared" si="1"/>
        <v>0</v>
      </c>
      <c r="S9" s="5">
        <f t="shared" si="1"/>
        <v>0</v>
      </c>
      <c r="T9" s="5">
        <f t="shared" si="1"/>
        <v>43.068799999999996</v>
      </c>
      <c r="U9" s="5">
        <f t="shared" si="1"/>
        <v>53.392000000000003</v>
      </c>
      <c r="V9" s="5">
        <f t="shared" si="1"/>
        <v>54.092999999999996</v>
      </c>
      <c r="W9" s="5">
        <f t="shared" si="1"/>
        <v>12.857489999999999</v>
      </c>
      <c r="X9" s="5">
        <f t="shared" si="1"/>
        <v>11.048814024209999</v>
      </c>
      <c r="Y9" s="5">
        <f t="shared" si="1"/>
        <v>9.4945663066103556</v>
      </c>
    </row>
    <row r="10" spans="1:25" s="2" customFormat="1" ht="14.5" customHeight="1" x14ac:dyDescent="0.35">
      <c r="A10" s="135"/>
      <c r="B10" s="344"/>
      <c r="C10" s="265" t="s">
        <v>178</v>
      </c>
      <c r="D10" s="266">
        <f t="shared" ref="D10:M10" si="2">D9-D8</f>
        <v>546.60244862093157</v>
      </c>
      <c r="E10" s="266">
        <f t="shared" si="2"/>
        <v>239.54441891111622</v>
      </c>
      <c r="F10" s="266">
        <f t="shared" si="2"/>
        <v>439.86499984940065</v>
      </c>
      <c r="G10" s="266">
        <f t="shared" si="2"/>
        <v>888.13234700579164</v>
      </c>
      <c r="H10" s="266">
        <f t="shared" si="2"/>
        <v>497.29171368655028</v>
      </c>
      <c r="I10" s="266">
        <f t="shared" si="2"/>
        <v>494.64164614431468</v>
      </c>
      <c r="J10" s="266">
        <f t="shared" si="2"/>
        <v>458.53280597577964</v>
      </c>
      <c r="K10" s="266">
        <f t="shared" si="2"/>
        <v>425.05991113954775</v>
      </c>
      <c r="L10" s="266">
        <f t="shared" si="2"/>
        <v>394.03053762636085</v>
      </c>
      <c r="M10" s="266">
        <f t="shared" si="2"/>
        <v>365.26630837963648</v>
      </c>
      <c r="O10" s="3" t="s">
        <v>110</v>
      </c>
      <c r="P10" s="5">
        <v>0</v>
      </c>
      <c r="Q10" s="5">
        <f t="shared" si="1"/>
        <v>0</v>
      </c>
      <c r="R10" s="5">
        <f t="shared" si="1"/>
        <v>0</v>
      </c>
      <c r="S10" s="5">
        <f t="shared" si="1"/>
        <v>0</v>
      </c>
      <c r="T10" s="5">
        <f t="shared" si="1"/>
        <v>0</v>
      </c>
      <c r="U10" s="5">
        <f t="shared" si="1"/>
        <v>43.068799999999996</v>
      </c>
      <c r="V10" s="5">
        <f t="shared" si="1"/>
        <v>53.392000000000003</v>
      </c>
      <c r="W10" s="5">
        <f t="shared" si="1"/>
        <v>54.092999999999996</v>
      </c>
      <c r="X10" s="5">
        <f t="shared" si="1"/>
        <v>12.857489999999999</v>
      </c>
      <c r="Y10" s="5">
        <f t="shared" si="1"/>
        <v>11.048814024209999</v>
      </c>
    </row>
    <row r="11" spans="1:25" s="2" customFormat="1" x14ac:dyDescent="0.35">
      <c r="A11" s="135"/>
      <c r="B11" s="344"/>
      <c r="C11" s="267" t="s">
        <v>179</v>
      </c>
      <c r="D11" s="266">
        <f>D10/(1+'Model input'!$C$11)^(D$4-2021)</f>
        <v>496.91131692811956</v>
      </c>
      <c r="E11" s="266">
        <f>E10/(1+'Model input'!$C$11)^(E$4-2021)</f>
        <v>197.97059414141833</v>
      </c>
      <c r="F11" s="266">
        <f>F10/(1+'Model input'!$C$11)^(F$4-2021)</f>
        <v>330.47708478542489</v>
      </c>
      <c r="G11" s="266">
        <f>G10/(1+'Model input'!$C$11)^(G$4-2021)</f>
        <v>606.60634314991557</v>
      </c>
      <c r="H11" s="266">
        <f>H10/(1+'Model input'!$C$11)^(H$4-2021)</f>
        <v>308.77902880860728</v>
      </c>
      <c r="I11" s="266">
        <f>I10/(1+'Model input'!$C$11)^(I$4-2021)</f>
        <v>279.21231396735107</v>
      </c>
      <c r="J11" s="266">
        <f>J10/(1+'Model input'!$C$11)^(J$4-2021)</f>
        <v>235.29983186157671</v>
      </c>
      <c r="K11" s="266">
        <f>K10/(1+'Model input'!$C$11)^(K$4-2021)</f>
        <v>198.2935855778924</v>
      </c>
      <c r="L11" s="266">
        <f>L10/(1+'Model input'!$C$11)^(L$4-2021)</f>
        <v>167.10741257336934</v>
      </c>
      <c r="M11" s="266">
        <f>M10/(1+'Model input'!$C$11)^(M$4-2021)</f>
        <v>140.8259740504667</v>
      </c>
      <c r="O11" s="3" t="s">
        <v>111</v>
      </c>
      <c r="P11" s="5">
        <v>0</v>
      </c>
      <c r="Q11" s="5">
        <f t="shared" si="1"/>
        <v>0</v>
      </c>
      <c r="R11" s="5">
        <f t="shared" si="1"/>
        <v>0</v>
      </c>
      <c r="S11" s="5">
        <f t="shared" si="1"/>
        <v>0</v>
      </c>
      <c r="T11" s="5">
        <f t="shared" si="1"/>
        <v>0</v>
      </c>
      <c r="U11" s="5">
        <f t="shared" si="1"/>
        <v>0</v>
      </c>
      <c r="V11" s="5">
        <f t="shared" si="1"/>
        <v>43.068799999999996</v>
      </c>
      <c r="W11" s="5">
        <f t="shared" si="1"/>
        <v>53.392000000000003</v>
      </c>
      <c r="X11" s="5">
        <f t="shared" si="1"/>
        <v>54.092999999999996</v>
      </c>
      <c r="Y11" s="5">
        <f t="shared" si="1"/>
        <v>12.857489999999999</v>
      </c>
    </row>
    <row r="12" spans="1:25" s="2" customFormat="1" ht="15.65" customHeight="1" x14ac:dyDescent="0.35">
      <c r="A12" s="135"/>
      <c r="B12" s="345"/>
      <c r="C12" s="267" t="s">
        <v>180</v>
      </c>
      <c r="D12" s="126">
        <f>D11*'Model input'!$D$85</f>
        <v>9.6400795484055202</v>
      </c>
      <c r="E12" s="126">
        <f>E11*'Model input'!$D$85</f>
        <v>3.8406295263435157</v>
      </c>
      <c r="F12" s="126">
        <f>F11*'Model input'!$D$85</f>
        <v>6.4112554448372432</v>
      </c>
      <c r="G12" s="126">
        <f>G11*'Model input'!$D$85</f>
        <v>11.768163057108362</v>
      </c>
      <c r="H12" s="126">
        <f>H11*'Model input'!$D$85</f>
        <v>5.9903131588869813</v>
      </c>
      <c r="I12" s="126">
        <f>I11*'Model input'!$D$85</f>
        <v>5.4167188909666111</v>
      </c>
      <c r="J12" s="126">
        <f>J11*'Model input'!$D$85</f>
        <v>4.5648167381145885</v>
      </c>
      <c r="K12" s="126">
        <f>K11*'Model input'!$D$85</f>
        <v>3.8468955602111126</v>
      </c>
      <c r="L12" s="126">
        <f>L11*'Model input'!$D$85</f>
        <v>3.2418838039233653</v>
      </c>
      <c r="M12" s="126">
        <f>M11*'Model input'!$D$85</f>
        <v>2.732023896579054</v>
      </c>
      <c r="O12" s="3" t="s">
        <v>112</v>
      </c>
      <c r="P12" s="5">
        <v>0</v>
      </c>
      <c r="Q12" s="5">
        <f t="shared" si="1"/>
        <v>0</v>
      </c>
      <c r="R12" s="5">
        <f t="shared" si="1"/>
        <v>0</v>
      </c>
      <c r="S12" s="5">
        <f t="shared" si="1"/>
        <v>0</v>
      </c>
      <c r="T12" s="5">
        <f t="shared" si="1"/>
        <v>0</v>
      </c>
      <c r="U12" s="5">
        <f t="shared" si="1"/>
        <v>0</v>
      </c>
      <c r="V12" s="5">
        <f t="shared" si="1"/>
        <v>0</v>
      </c>
      <c r="W12" s="5">
        <f t="shared" si="1"/>
        <v>43.068799999999996</v>
      </c>
      <c r="X12" s="5">
        <f t="shared" si="1"/>
        <v>53.392000000000003</v>
      </c>
      <c r="Y12" s="5">
        <f t="shared" si="1"/>
        <v>54.092999999999996</v>
      </c>
    </row>
    <row r="13" spans="1:25" s="1" customFormat="1" ht="14.5" customHeight="1" x14ac:dyDescent="0.35">
      <c r="A13" s="258"/>
      <c r="B13" s="340" t="s">
        <v>60</v>
      </c>
      <c r="C13" s="214" t="s">
        <v>181</v>
      </c>
      <c r="D13" s="259">
        <v>0.313</v>
      </c>
      <c r="E13" s="259">
        <v>0.376</v>
      </c>
      <c r="F13" s="259">
        <v>0.39</v>
      </c>
      <c r="G13" s="260">
        <v>0.1</v>
      </c>
      <c r="H13" s="260">
        <f t="shared" ref="H13:M14" si="3">G13-G13*0.073</f>
        <v>9.2700000000000005E-2</v>
      </c>
      <c r="I13" s="260">
        <f t="shared" si="3"/>
        <v>8.5932900000000007E-2</v>
      </c>
      <c r="J13" s="260">
        <f t="shared" si="3"/>
        <v>7.9659798300000001E-2</v>
      </c>
      <c r="K13" s="260">
        <f t="shared" si="3"/>
        <v>7.3844633024100007E-2</v>
      </c>
      <c r="L13" s="260">
        <f t="shared" si="3"/>
        <v>6.8453974813340701E-2</v>
      </c>
      <c r="M13" s="260">
        <f t="shared" si="3"/>
        <v>6.3456834651966831E-2</v>
      </c>
      <c r="N13" s="236"/>
      <c r="O13" s="3" t="s">
        <v>113</v>
      </c>
      <c r="P13" s="5">
        <v>0</v>
      </c>
      <c r="Q13" s="5">
        <f t="shared" si="1"/>
        <v>0</v>
      </c>
      <c r="R13" s="5">
        <f t="shared" si="1"/>
        <v>0</v>
      </c>
      <c r="S13" s="5">
        <f t="shared" si="1"/>
        <v>0</v>
      </c>
      <c r="T13" s="5">
        <f t="shared" si="1"/>
        <v>0</v>
      </c>
      <c r="U13" s="5">
        <f t="shared" si="1"/>
        <v>0</v>
      </c>
      <c r="V13" s="5">
        <f t="shared" si="1"/>
        <v>0</v>
      </c>
      <c r="W13" s="5">
        <f t="shared" si="1"/>
        <v>0</v>
      </c>
      <c r="X13" s="5">
        <f t="shared" si="1"/>
        <v>43.068799999999996</v>
      </c>
      <c r="Y13" s="5">
        <f t="shared" si="1"/>
        <v>53.392000000000003</v>
      </c>
    </row>
    <row r="14" spans="1:25" s="1" customFormat="1" ht="14.5" customHeight="1" x14ac:dyDescent="0.35">
      <c r="A14" s="258"/>
      <c r="B14" s="341"/>
      <c r="C14" s="214" t="s">
        <v>182</v>
      </c>
      <c r="D14" s="268">
        <v>137.6</v>
      </c>
      <c r="E14" s="268">
        <v>142</v>
      </c>
      <c r="F14" s="268">
        <v>138.69999999999999</v>
      </c>
      <c r="G14" s="269">
        <f>F14-F14*0.073</f>
        <v>128.57489999999999</v>
      </c>
      <c r="H14" s="269">
        <f t="shared" si="3"/>
        <v>119.18893229999999</v>
      </c>
      <c r="I14" s="269">
        <f t="shared" si="3"/>
        <v>110.48814024209999</v>
      </c>
      <c r="J14" s="269">
        <f t="shared" si="3"/>
        <v>102.42250600442669</v>
      </c>
      <c r="K14" s="269">
        <f t="shared" si="3"/>
        <v>94.945663066103549</v>
      </c>
      <c r="L14" s="269">
        <f t="shared" si="3"/>
        <v>88.014629662277997</v>
      </c>
      <c r="M14" s="269">
        <f t="shared" si="3"/>
        <v>81.58956169693171</v>
      </c>
      <c r="N14" s="236"/>
      <c r="O14" s="6" t="s">
        <v>183</v>
      </c>
      <c r="P14" s="7">
        <f>P5*'Model input'!$C$58+P6*'Model input'!$D$58+P7*'Model input'!$E$58+P8*'Model input'!$F$58+P9*'Model input'!$G$58+P10*'Model input'!$H$58+P11*'Model input'!$I$58+P12*'Model input'!$J$58+P13*'Model input'!$K$58</f>
        <v>-47.375680000000003</v>
      </c>
      <c r="Q14" s="7">
        <f>Q5*'Model input'!$C$58+Q6*'Model input'!$D$58+Q7*'Model input'!$E$58+Q8*'Model input'!$F$58+Q9*'Model input'!$G$58+Q10*'Model input'!$H$58+Q11*'Model input'!$I$58+Q12*'Model input'!$J$58+Q13*'Model input'!$K$58</f>
        <v>-75.961734816000003</v>
      </c>
      <c r="R14" s="7">
        <f>R5*'Model input'!$C$58+R6*'Model input'!$D$58+R7*'Model input'!$E$58+R8*'Model input'!$F$58+R9*'Model input'!$G$58+R10*'Model input'!$H$58+R11*'Model input'!$I$58+R12*'Model input'!$J$58+R13*'Model input'!$K$58</f>
        <v>-7.6493229439999908</v>
      </c>
      <c r="S14" s="7">
        <f>S5*'Model input'!$C$58+S6*'Model input'!$D$58+S7*'Model input'!$E$58+S8*'Model input'!$F$58+S9*'Model input'!$G$58+S10*'Model input'!$H$58+S11*'Model input'!$I$58+S12*'Model input'!$J$58+S13*'Model input'!$K$58</f>
        <v>141.11205762600002</v>
      </c>
      <c r="T14" s="7">
        <f>T5*'Model input'!$C$58+T6*'Model input'!$D$58+T7*'Model input'!$E$58+T8*'Model input'!$F$58+T9*'Model input'!$G$58+T10*'Model input'!$H$58+T11*'Model input'!$I$58+T12*'Model input'!$J$58+T13*'Model input'!$K$58</f>
        <v>258.95974974906903</v>
      </c>
      <c r="U14" s="7">
        <f>U5*'Model input'!$C$58+U6*'Model input'!$D$58+U7*'Model input'!$E$58+U8*'Model input'!$F$58+U9*'Model input'!$G$58+U10*'Model input'!$H$58+U11*'Model input'!$I$58+U12*'Model input'!$J$58+U13*'Model input'!$K$58</f>
        <v>267.26909499686292</v>
      </c>
      <c r="V14" s="7">
        <f>V5*'Model input'!$C$58+V6*'Model input'!$D$58+V7*'Model input'!$E$58+V8*'Model input'!$F$58+V9*'Model input'!$G$58+V10*'Model input'!$H$58+V11*'Model input'!$I$58+V12*'Model input'!$J$58+V13*'Model input'!$K$58</f>
        <v>237.26162840788697</v>
      </c>
      <c r="W14" s="7">
        <f>W5*'Model input'!$C$58+W6*'Model input'!$D$58+W7*'Model input'!$E$58+W8*'Model input'!$F$58+W9*'Model input'!$G$58+W10*'Model input'!$H$58+W11*'Model input'!$I$58+W12*'Model input'!$J$58+W13*'Model input'!$K$58</f>
        <v>203.23246529344112</v>
      </c>
      <c r="X14" s="7">
        <f>X5*'Model input'!$C$58+X6*'Model input'!$D$58+X7*'Model input'!$E$58+X8*'Model input'!$F$58+X9*'Model input'!$G$58+X10*'Model input'!$H$58+X11*'Model input'!$I$58+X12*'Model input'!$J$58+X13*'Model input'!$K$58</f>
        <v>198.80109985268746</v>
      </c>
      <c r="Y14" s="7">
        <f>Y5*'Model input'!$C$58+Y6*'Model input'!$D$58+Y7*'Model input'!$E$58+Y8*'Model input'!$F$58+Y9*'Model input'!$G$58+Y10*'Model input'!$H$58+Y11*'Model input'!$I$58+Y12*'Model input'!$J$58+Y13*'Model input'!$K$58</f>
        <v>165.16124520489006</v>
      </c>
    </row>
    <row r="15" spans="1:25" s="1" customFormat="1" ht="14.5" customHeight="1" x14ac:dyDescent="0.35">
      <c r="A15" s="258"/>
      <c r="B15" s="341"/>
      <c r="C15" s="214" t="s">
        <v>184</v>
      </c>
      <c r="D15" s="270">
        <f t="shared" ref="D15:M15" si="4">PRODUCT(D13:D14)</f>
        <v>43.068799999999996</v>
      </c>
      <c r="E15" s="270">
        <f t="shared" si="4"/>
        <v>53.392000000000003</v>
      </c>
      <c r="F15" s="270">
        <f t="shared" si="4"/>
        <v>54.092999999999996</v>
      </c>
      <c r="G15" s="270">
        <f t="shared" si="4"/>
        <v>12.857489999999999</v>
      </c>
      <c r="H15" s="270">
        <f t="shared" si="4"/>
        <v>11.048814024209999</v>
      </c>
      <c r="I15" s="270">
        <f t="shared" si="4"/>
        <v>9.4945663066103556</v>
      </c>
      <c r="J15" s="270">
        <f t="shared" si="4"/>
        <v>8.1589561696931696</v>
      </c>
      <c r="K15" s="270">
        <f t="shared" si="4"/>
        <v>7.0112276463462626</v>
      </c>
      <c r="L15" s="270">
        <f t="shared" si="4"/>
        <v>6.024951242107087</v>
      </c>
      <c r="M15" s="270">
        <f t="shared" si="4"/>
        <v>5.1774153259286422</v>
      </c>
      <c r="N15" s="236"/>
      <c r="O15"/>
      <c r="P15"/>
      <c r="Q15"/>
      <c r="R15" s="236"/>
      <c r="S15" s="236"/>
      <c r="T15" s="236"/>
      <c r="U15" s="236"/>
      <c r="V15" s="236"/>
      <c r="W15" s="236"/>
      <c r="X15" s="236"/>
      <c r="Y15" s="271"/>
    </row>
    <row r="16" spans="1:25" s="1" customFormat="1" ht="14.5" customHeight="1" x14ac:dyDescent="0.35">
      <c r="A16" s="258"/>
      <c r="B16" s="341"/>
      <c r="C16" s="214" t="s">
        <v>173</v>
      </c>
      <c r="D16" s="270">
        <f t="shared" ref="D16:M16" si="5">P14</f>
        <v>-47.375680000000003</v>
      </c>
      <c r="E16" s="270">
        <f t="shared" si="5"/>
        <v>-75.961734816000003</v>
      </c>
      <c r="F16" s="270">
        <f t="shared" si="5"/>
        <v>-7.6493229439999908</v>
      </c>
      <c r="G16" s="270">
        <f t="shared" si="5"/>
        <v>141.11205762600002</v>
      </c>
      <c r="H16" s="270">
        <f t="shared" si="5"/>
        <v>258.95974974906903</v>
      </c>
      <c r="I16" s="270">
        <f t="shared" si="5"/>
        <v>267.26909499686292</v>
      </c>
      <c r="J16" s="270">
        <f t="shared" si="5"/>
        <v>237.26162840788697</v>
      </c>
      <c r="K16" s="270">
        <f t="shared" si="5"/>
        <v>203.23246529344112</v>
      </c>
      <c r="L16" s="270">
        <f t="shared" si="5"/>
        <v>198.80109985268746</v>
      </c>
      <c r="M16" s="270">
        <f t="shared" si="5"/>
        <v>165.16124520489006</v>
      </c>
      <c r="N16" s="236"/>
      <c r="O16"/>
      <c r="P16"/>
      <c r="Q16"/>
      <c r="R16" s="236"/>
      <c r="S16" s="236"/>
      <c r="T16" s="236"/>
      <c r="U16" s="236"/>
      <c r="V16" s="236"/>
      <c r="W16" s="236"/>
      <c r="X16" s="236"/>
      <c r="Y16" s="271"/>
    </row>
    <row r="17" spans="1:25" s="1" customFormat="1" ht="14.5" customHeight="1" x14ac:dyDescent="0.35">
      <c r="A17" s="258"/>
      <c r="B17" s="341"/>
      <c r="C17" s="214" t="s">
        <v>185</v>
      </c>
      <c r="D17" s="263">
        <f>(D16/'Model input'!$C$45)+(D15*'Model input'!$C$46)</f>
        <v>-0.51682560000000011</v>
      </c>
      <c r="E17" s="263">
        <f>(E16/'Model input'!$C$45)+(E15*'Model input'!$C$46)</f>
        <v>-0.98531469632000002</v>
      </c>
      <c r="F17" s="263">
        <f>(F16/'Model input'!$C$45)+(F15*'Model input'!$C$46)</f>
        <v>0.38794354112000018</v>
      </c>
      <c r="G17" s="263">
        <f>(G16/'Model input'!$C$45)+(G15*'Model input'!$C$46)</f>
        <v>2.9508160525200005</v>
      </c>
      <c r="H17" s="263">
        <f>(H16/'Model input'!$C$45)+(H15*'Model input'!$C$46)</f>
        <v>5.2896831352234805</v>
      </c>
      <c r="I17" s="263">
        <f>(I16/'Model input'!$C$45)+(I15*'Model input'!$C$46)</f>
        <v>5.4403275630033621</v>
      </c>
      <c r="J17" s="263">
        <f>(J16/'Model input'!$C$45)+(J15*'Model input'!$C$46)</f>
        <v>4.826822129854671</v>
      </c>
      <c r="K17" s="263">
        <f>(K16/'Model input'!$C$45)+(K15*'Model input'!$C$46)</f>
        <v>4.1347615823322856</v>
      </c>
      <c r="L17" s="263">
        <f>(L16/'Model input'!$C$45)+(L15*'Model input'!$C$46)</f>
        <v>4.0362715094748198</v>
      </c>
      <c r="M17" s="263">
        <f>(M16/'Model input'!$C$45)+(M15*'Model input'!$C$46)</f>
        <v>3.3549990573570878</v>
      </c>
      <c r="N17" s="236"/>
      <c r="O17"/>
      <c r="P17"/>
      <c r="Q17"/>
      <c r="R17" s="236"/>
      <c r="S17" s="236"/>
      <c r="T17" s="236"/>
      <c r="U17" s="236"/>
      <c r="V17" s="236"/>
      <c r="W17" s="236"/>
      <c r="X17" s="236"/>
      <c r="Y17" s="271"/>
    </row>
    <row r="18" spans="1:25" s="1" customFormat="1" ht="14.15" customHeight="1" x14ac:dyDescent="0.35">
      <c r="A18" s="258"/>
      <c r="B18" s="341"/>
      <c r="C18" s="214" t="s">
        <v>186</v>
      </c>
      <c r="D18" s="264">
        <f>D17*'Model input'!E52</f>
        <v>-45.733497334938356</v>
      </c>
      <c r="E18" s="264">
        <f>E17*'Model input'!F52</f>
        <v>-95.018774707953838</v>
      </c>
      <c r="F18" s="264">
        <f>F17*'Model input'!G52</f>
        <v>33.611650645513294</v>
      </c>
      <c r="G18" s="264">
        <f>G17*'Model input'!H52</f>
        <v>255.6603932369519</v>
      </c>
      <c r="H18" s="264">
        <f>H17*'Model input'!I52</f>
        <v>458.3011771591755</v>
      </c>
      <c r="I18" s="264">
        <f>I17*'Model input'!J52</f>
        <v>471.35309668234243</v>
      </c>
      <c r="J18" s="264">
        <f>J17*'Model input'!K52</f>
        <v>418.19863449285702</v>
      </c>
      <c r="K18" s="264">
        <f>K17*'Model input'!L52</f>
        <v>358.23811219183028</v>
      </c>
      <c r="L18" s="264">
        <f>L17*'Model input'!M52</f>
        <v>349.70487585702995</v>
      </c>
      <c r="M18" s="264">
        <f>M17*'Model input'!N52</f>
        <v>290.67904032208469</v>
      </c>
      <c r="N18" s="236"/>
      <c r="O18"/>
      <c r="P18"/>
      <c r="Q18"/>
      <c r="R18" s="236"/>
      <c r="S18" s="236"/>
      <c r="T18" s="236"/>
      <c r="U18" s="236"/>
      <c r="V18" s="236"/>
      <c r="W18" s="236"/>
      <c r="X18" s="236"/>
      <c r="Y18" s="271"/>
    </row>
    <row r="19" spans="1:25" s="1" customFormat="1" ht="14.5" customHeight="1" x14ac:dyDescent="0.35">
      <c r="A19" s="258"/>
      <c r="B19" s="341"/>
      <c r="C19" s="267" t="s">
        <v>178</v>
      </c>
      <c r="D19" s="272">
        <f>D16*'Model input'!D65-D18</f>
        <v>-1730.6382211831474</v>
      </c>
      <c r="E19" s="272">
        <f>E16*'Model input'!E65-E18</f>
        <v>-1240.7832959687294</v>
      </c>
      <c r="F19" s="272">
        <f>F16*'Model input'!F65-F18</f>
        <v>-266.77952009211083</v>
      </c>
      <c r="G19" s="272">
        <f>G16*'Model input'!G65-G18</f>
        <v>8825.164173584215</v>
      </c>
      <c r="H19" s="272">
        <f>H16*'Model input'!H65-H18</f>
        <v>9118.7895368968348</v>
      </c>
      <c r="I19" s="272">
        <f>I16*'Model input'!I65-I18</f>
        <v>9413.0415643756423</v>
      </c>
      <c r="J19" s="272">
        <f>J16*'Model input'!J65-J18</f>
        <v>8356.4319419917447</v>
      </c>
      <c r="K19" s="272">
        <f>K16*'Model input'!K65-K18</f>
        <v>7157.8942521719591</v>
      </c>
      <c r="L19" s="272">
        <f>L16*'Model input'!L65-L18</f>
        <v>7002.5426034836837</v>
      </c>
      <c r="M19" s="272">
        <f>M16*'Model input'!M65-M18</f>
        <v>5817.4679952940824</v>
      </c>
      <c r="N19" s="236"/>
      <c r="O19"/>
      <c r="P19"/>
      <c r="Q19"/>
      <c r="R19" s="236"/>
      <c r="S19" s="236"/>
      <c r="T19" s="236"/>
      <c r="U19" s="236"/>
      <c r="V19" s="236"/>
      <c r="W19" s="236"/>
      <c r="X19" s="236"/>
      <c r="Y19" s="271"/>
    </row>
    <row r="20" spans="1:25" s="1" customFormat="1" ht="14.5" customHeight="1" x14ac:dyDescent="0.35">
      <c r="A20" s="258"/>
      <c r="B20" s="341"/>
      <c r="C20" s="267" t="s">
        <v>187</v>
      </c>
      <c r="D20" s="272">
        <f>D19/(1+'Model input'!$C$11)^(D$4-2021)</f>
        <v>-1573.3074738028611</v>
      </c>
      <c r="E20" s="272">
        <f>E19/(1+'Model input'!$C$11)^(E$4-2021)</f>
        <v>-1025.4407404700241</v>
      </c>
      <c r="F20" s="272">
        <f>F19/(1+'Model input'!$C$11)^(F$4-2021)</f>
        <v>-200.43540202262264</v>
      </c>
      <c r="G20" s="272">
        <f>G19/(1+'Model input'!$C$11)^(G$4-2021)</f>
        <v>6027.7058763637815</v>
      </c>
      <c r="H20" s="272">
        <f>H19/(1+'Model input'!$C$11)^(H$4-2021)</f>
        <v>5662.0508639479613</v>
      </c>
      <c r="I20" s="272">
        <f>I19/(1+'Model input'!$C$11)^(I$4-2021)</f>
        <v>5313.4165656026735</v>
      </c>
      <c r="J20" s="272">
        <f>J19/(1+'Model input'!$C$11)^(J$4-2021)</f>
        <v>4288.1708904754514</v>
      </c>
      <c r="K20" s="272">
        <f>K19/(1+'Model input'!$C$11)^(K$4-2021)</f>
        <v>3339.2104953990479</v>
      </c>
      <c r="L20" s="272">
        <f>L19/(1+'Model input'!$C$11)^(L$4-2021)</f>
        <v>2969.7616406892885</v>
      </c>
      <c r="M20" s="272">
        <f>M19/(1+'Model input'!$C$11)^(M$4-2021)</f>
        <v>2242.8857470567027</v>
      </c>
      <c r="N20" s="236"/>
      <c r="O20"/>
      <c r="P20"/>
      <c r="Q20"/>
      <c r="R20" s="236"/>
      <c r="S20" s="236"/>
      <c r="T20" s="236"/>
      <c r="U20" s="236"/>
      <c r="V20" s="236"/>
      <c r="W20" s="236"/>
      <c r="X20" s="236"/>
      <c r="Y20" s="271"/>
    </row>
    <row r="21" spans="1:25" s="1" customFormat="1" ht="15.65" customHeight="1" x14ac:dyDescent="0.35">
      <c r="A21" s="258"/>
      <c r="B21" s="342"/>
      <c r="C21" s="267" t="s">
        <v>180</v>
      </c>
      <c r="D21" s="126">
        <f>D20*'Model input'!$D$85</f>
        <v>-30.522164991775504</v>
      </c>
      <c r="E21" s="126">
        <f>E20*'Model input'!$D$85</f>
        <v>-19.893550365118468</v>
      </c>
      <c r="F21" s="126">
        <f>F20*'Model input'!$D$85</f>
        <v>-3.8884467992388791</v>
      </c>
      <c r="G21" s="126">
        <f>G20*'Model input'!$D$85</f>
        <v>116.93749400145737</v>
      </c>
      <c r="H21" s="126">
        <f>H20*'Model input'!$D$85</f>
        <v>109.84378676059045</v>
      </c>
      <c r="I21" s="126">
        <f>I20*'Model input'!$D$85</f>
        <v>103.08028137269187</v>
      </c>
      <c r="J21" s="126">
        <f>J20*'Model input'!$D$85</f>
        <v>83.19051527522376</v>
      </c>
      <c r="K21" s="126">
        <f>K20*'Model input'!$D$85</f>
        <v>64.780683610741534</v>
      </c>
      <c r="L21" s="126">
        <f>L20*'Model input'!$D$85</f>
        <v>57.613375829372195</v>
      </c>
      <c r="M21" s="126">
        <f>M20*'Model input'!$D$85</f>
        <v>43.511983492900036</v>
      </c>
      <c r="N21" s="236"/>
      <c r="O21"/>
      <c r="P21"/>
      <c r="Q21"/>
      <c r="R21" s="236"/>
      <c r="S21" s="236"/>
      <c r="T21" s="236"/>
      <c r="U21" s="236"/>
      <c r="V21" s="236"/>
      <c r="W21" s="236"/>
      <c r="X21" s="236"/>
      <c r="Y21" s="271"/>
    </row>
    <row r="22" spans="1:25" s="1" customFormat="1" ht="22" customHeight="1" x14ac:dyDescent="0.35">
      <c r="A22" s="258"/>
      <c r="B22" s="340" t="s">
        <v>62</v>
      </c>
      <c r="C22" s="273" t="s">
        <v>188</v>
      </c>
      <c r="D22" s="264" t="s">
        <v>189</v>
      </c>
      <c r="E22" s="274">
        <f>286</f>
        <v>286</v>
      </c>
      <c r="F22" s="264" t="s">
        <v>189</v>
      </c>
      <c r="G22" s="264" t="s">
        <v>189</v>
      </c>
      <c r="H22" s="264" t="s">
        <v>189</v>
      </c>
      <c r="I22" s="264" t="s">
        <v>189</v>
      </c>
      <c r="J22" s="264" t="s">
        <v>189</v>
      </c>
      <c r="K22" s="264" t="s">
        <v>189</v>
      </c>
      <c r="L22" s="264" t="s">
        <v>189</v>
      </c>
      <c r="M22" s="264" t="s">
        <v>189</v>
      </c>
      <c r="N22" s="236"/>
      <c r="O22"/>
      <c r="P22"/>
      <c r="Q22"/>
      <c r="R22" s="236"/>
      <c r="S22" s="236"/>
      <c r="T22" s="236"/>
      <c r="U22" s="236"/>
      <c r="V22" s="236"/>
      <c r="W22" s="236"/>
      <c r="X22" s="236"/>
      <c r="Y22" s="271"/>
    </row>
    <row r="23" spans="1:25" s="1" customFormat="1" ht="14.5" customHeight="1" x14ac:dyDescent="0.35">
      <c r="A23" s="258"/>
      <c r="B23" s="341"/>
      <c r="C23" s="267" t="s">
        <v>190</v>
      </c>
      <c r="D23" s="266" t="s">
        <v>189</v>
      </c>
      <c r="E23" s="266">
        <f>E22/('Model input'!F$79/'Model input'!$D$79)</f>
        <v>162.23762387178942</v>
      </c>
      <c r="F23" s="266">
        <f t="shared" ref="F23:M23" si="6">E23</f>
        <v>162.23762387178942</v>
      </c>
      <c r="G23" s="266">
        <f t="shared" si="6"/>
        <v>162.23762387178942</v>
      </c>
      <c r="H23" s="266">
        <f t="shared" si="6"/>
        <v>162.23762387178942</v>
      </c>
      <c r="I23" s="266">
        <f t="shared" si="6"/>
        <v>162.23762387178942</v>
      </c>
      <c r="J23" s="266">
        <f t="shared" si="6"/>
        <v>162.23762387178942</v>
      </c>
      <c r="K23" s="266">
        <f t="shared" si="6"/>
        <v>162.23762387178942</v>
      </c>
      <c r="L23" s="266">
        <f t="shared" si="6"/>
        <v>162.23762387178942</v>
      </c>
      <c r="M23" s="266">
        <f t="shared" si="6"/>
        <v>162.23762387178942</v>
      </c>
      <c r="N23" s="236"/>
      <c r="O23"/>
      <c r="P23"/>
      <c r="Q23"/>
      <c r="R23" s="236"/>
      <c r="S23" s="236"/>
      <c r="T23" s="236"/>
      <c r="U23" s="236"/>
      <c r="V23" s="236"/>
      <c r="W23" s="236"/>
      <c r="X23" s="236"/>
      <c r="Y23" s="271"/>
    </row>
    <row r="24" spans="1:25" s="1" customFormat="1" ht="14.5" customHeight="1" x14ac:dyDescent="0.35">
      <c r="A24" s="258"/>
      <c r="B24" s="341"/>
      <c r="C24" s="267" t="s">
        <v>191</v>
      </c>
      <c r="D24" s="266" t="s">
        <v>189</v>
      </c>
      <c r="E24" s="266">
        <f>E23/(1+'Model input'!$C$11)^(E$4-2021)</f>
        <v>134.08068088577636</v>
      </c>
      <c r="F24" s="266">
        <f>F23/(1+'Model input'!$C$11)^(F$4-2021)</f>
        <v>121.89152807797849</v>
      </c>
      <c r="G24" s="266">
        <f>G23/(1+'Model input'!$C$11)^(G$4-2021)</f>
        <v>110.81048007088954</v>
      </c>
      <c r="H24" s="266">
        <f>H23/(1+'Model input'!$C$11)^(H$4-2021)</f>
        <v>100.73680006444503</v>
      </c>
      <c r="I24" s="266">
        <f>I23/(1+'Model input'!$C$11)^(I$4-2021)</f>
        <v>91.578909149495473</v>
      </c>
      <c r="J24" s="266">
        <f>J23/(1+'Model input'!$C$11)^(J$4-2021)</f>
        <v>83.253553772268603</v>
      </c>
      <c r="K24" s="266">
        <f>K23/(1+'Model input'!$C$11)^(K$4-2021)</f>
        <v>75.685048883880555</v>
      </c>
      <c r="L24" s="266">
        <f>L23/(1+'Model input'!$C$11)^(L$4-2021)</f>
        <v>68.804589894436859</v>
      </c>
      <c r="M24" s="266">
        <f>M23/(1+'Model input'!$C$11)^(M$4-2021)</f>
        <v>62.549627176760772</v>
      </c>
      <c r="N24" s="236"/>
      <c r="O24"/>
      <c r="P24"/>
      <c r="Q24"/>
      <c r="R24" s="236"/>
      <c r="S24" s="236"/>
      <c r="T24" s="236"/>
      <c r="U24" s="236"/>
      <c r="V24" s="236"/>
      <c r="W24" s="236"/>
      <c r="X24" s="236"/>
      <c r="Y24" s="271"/>
    </row>
    <row r="25" spans="1:25" s="1" customFormat="1" ht="15.65" customHeight="1" x14ac:dyDescent="0.35">
      <c r="A25" s="258"/>
      <c r="B25" s="342"/>
      <c r="C25" s="267" t="s">
        <v>180</v>
      </c>
      <c r="D25" s="126">
        <v>0</v>
      </c>
      <c r="E25" s="126">
        <f>E24*'Model input'!$D$85</f>
        <v>2.6011652091840616</v>
      </c>
      <c r="F25" s="126">
        <f>F24*'Model input'!$D$85</f>
        <v>2.3646956447127829</v>
      </c>
      <c r="G25" s="126">
        <f>G24*'Model input'!$D$85</f>
        <v>2.1497233133752571</v>
      </c>
      <c r="H25" s="126">
        <f>H24*'Model input'!$D$85</f>
        <v>1.9542939212502337</v>
      </c>
      <c r="I25" s="126">
        <f>I24*'Model input'!$D$85</f>
        <v>1.7766308375002122</v>
      </c>
      <c r="J25" s="126">
        <f>J24*'Model input'!$D$85</f>
        <v>1.615118943182011</v>
      </c>
      <c r="K25" s="126">
        <f>K24*'Model input'!$D$85</f>
        <v>1.4682899483472829</v>
      </c>
      <c r="L25" s="126">
        <f>L24*'Model input'!$D$85</f>
        <v>1.334809043952075</v>
      </c>
      <c r="M25" s="126">
        <f>M24*'Model input'!$D$85</f>
        <v>1.2134627672291589</v>
      </c>
      <c r="N25" s="236"/>
      <c r="O25"/>
      <c r="P25"/>
      <c r="Q25"/>
      <c r="R25" s="236"/>
      <c r="S25" s="236"/>
      <c r="T25" s="236"/>
      <c r="U25" s="236"/>
      <c r="V25" s="236"/>
      <c r="W25" s="236"/>
      <c r="X25" s="236"/>
      <c r="Y25" s="271"/>
    </row>
    <row r="26" spans="1:25" s="1" customFormat="1" ht="18.649999999999999" customHeight="1" x14ac:dyDescent="0.35">
      <c r="A26" s="258"/>
      <c r="B26" s="340" t="s">
        <v>192</v>
      </c>
      <c r="C26" s="214" t="s">
        <v>193</v>
      </c>
      <c r="D26" s="275">
        <v>0.3</v>
      </c>
      <c r="E26" s="275">
        <v>0.3</v>
      </c>
      <c r="F26" s="276">
        <v>0.3</v>
      </c>
      <c r="G26" s="276">
        <v>0.3</v>
      </c>
      <c r="H26" s="276">
        <v>0.3</v>
      </c>
      <c r="I26" s="276">
        <v>0.3</v>
      </c>
      <c r="J26" s="276">
        <v>0.3</v>
      </c>
      <c r="K26" s="276">
        <v>0.3</v>
      </c>
      <c r="L26" s="276">
        <v>0.3</v>
      </c>
      <c r="M26" s="276">
        <v>0.3</v>
      </c>
      <c r="N26" s="236"/>
      <c r="O26"/>
      <c r="P26"/>
      <c r="Q26"/>
      <c r="R26" s="236"/>
      <c r="S26" s="236"/>
      <c r="T26" s="236"/>
      <c r="U26" s="236"/>
      <c r="V26" s="236"/>
      <c r="W26" s="236"/>
      <c r="X26" s="236"/>
      <c r="Y26" s="271"/>
    </row>
    <row r="27" spans="1:25" s="1" customFormat="1" ht="16" customHeight="1" x14ac:dyDescent="0.35">
      <c r="A27" s="258"/>
      <c r="B27" s="341"/>
      <c r="C27" s="277" t="s">
        <v>194</v>
      </c>
      <c r="D27" s="275">
        <v>0.14000000000000001</v>
      </c>
      <c r="E27" s="275">
        <v>0.14000000000000001</v>
      </c>
      <c r="F27" s="276">
        <v>0.14000000000000001</v>
      </c>
      <c r="G27" s="276">
        <v>0.14000000000000001</v>
      </c>
      <c r="H27" s="276">
        <v>0.14000000000000001</v>
      </c>
      <c r="I27" s="276">
        <v>0.14000000000000001</v>
      </c>
      <c r="J27" s="276">
        <v>0.14000000000000001</v>
      </c>
      <c r="K27" s="276">
        <v>0.14000000000000001</v>
      </c>
      <c r="L27" s="276">
        <v>0.14000000000000001</v>
      </c>
      <c r="M27" s="276">
        <v>0.14000000000000001</v>
      </c>
      <c r="N27" s="236"/>
      <c r="O27"/>
      <c r="P27"/>
      <c r="Q27"/>
      <c r="R27" s="236"/>
      <c r="S27" s="236"/>
      <c r="T27" s="236"/>
      <c r="U27" s="236"/>
      <c r="V27" s="236"/>
      <c r="W27" s="236"/>
      <c r="X27" s="236"/>
      <c r="Y27" s="271"/>
    </row>
    <row r="28" spans="1:25" s="1" customFormat="1" ht="14.5" customHeight="1" x14ac:dyDescent="0.35">
      <c r="A28" s="258"/>
      <c r="B28" s="341"/>
      <c r="C28" s="267" t="s">
        <v>190</v>
      </c>
      <c r="D28" s="266">
        <f>(D26*D27*'Model input'!$C$29*'Model input'!$C$28*'Model input'!D65)+(D26*D27*D16*'Model input'!D65)+(D26*D27*D6*'Model input'!D65)</f>
        <v>658.15067110833866</v>
      </c>
      <c r="E28" s="266">
        <f>(E26*E27*'Model input'!$C$29*'Model input'!$C$28*'Model input'!E65)+(E26*E27*E16*'Model input'!E65)+(E26*E27*E6*'Model input'!E65)</f>
        <v>287.5567837888583</v>
      </c>
      <c r="F28" s="266">
        <f>(F26*F27*'Model input'!$C$29*'Model input'!$C$28*'Model input'!F65)+(F26*F27*F16*'Model input'!F65)+(F26*F27*F6*'Model input'!F65)</f>
        <v>585.90756753876451</v>
      </c>
      <c r="G28" s="266">
        <f>(G26*G27*'Model input'!$C$29*'Model input'!$C$28*'Model input'!G65)+(G26*G27*G16*'Model input'!G65)+(G26*G27*G6*'Model input'!G65)</f>
        <v>1635.9787225899224</v>
      </c>
      <c r="H28" s="266">
        <f>(H26*H27*'Model input'!$C$29*'Model input'!$C$28*'Model input'!H65)+(H26*H27*H16*'Model input'!H65)+(H26*H27*H6*'Model input'!H65)</f>
        <v>1123.1281874559388</v>
      </c>
      <c r="I28" s="266">
        <f>(I26*I27*'Model input'!$C$29*'Model input'!$C$28*'Model input'!I65)+(I26*I27*I16*'Model input'!I65)+(I26*I27*I6*'Model input'!I65)</f>
        <v>1135.9181790124414</v>
      </c>
      <c r="J28" s="266">
        <f>(J26*J27*'Model input'!$C$29*'Model input'!$C$28*'Model input'!J65)+(J26*J27*J16*'Model input'!J65)+(J26*J27*J6*'Model input'!J65)</f>
        <v>1087.7169651620741</v>
      </c>
      <c r="K28" s="266">
        <f>(K26*K27*'Model input'!$C$29*'Model input'!$C$28*'Model input'!K65)+(K26*K27*K16*'Model input'!K65)+(K26*K27*K6*'Model input'!K65)</f>
        <v>1033.3850698824895</v>
      </c>
      <c r="L28" s="266">
        <f>(L26*L27*'Model input'!$C$29*'Model input'!$C$28*'Model input'!L65)+(L26*L27*L16*'Model input'!L65)+(L26*L27*L6*'Model input'!L65)</f>
        <v>1025.1346071780572</v>
      </c>
      <c r="M28" s="266">
        <f>(M26*M27*'Model input'!$C$29*'Model input'!$C$28*'Model input'!M65)+(M26*M27*M16*'Model input'!M65)+(M26*M27*M6*'Model input'!M65)</f>
        <v>971.61490372810579</v>
      </c>
      <c r="N28" s="236"/>
      <c r="O28"/>
      <c r="P28"/>
      <c r="Q28"/>
      <c r="R28" s="236"/>
      <c r="S28" s="236"/>
      <c r="T28" s="236"/>
      <c r="U28" s="236"/>
      <c r="V28" s="236"/>
      <c r="W28" s="236"/>
      <c r="X28" s="236"/>
      <c r="Y28" s="271"/>
    </row>
    <row r="29" spans="1:25" s="1" customFormat="1" ht="14.5" customHeight="1" x14ac:dyDescent="0.35">
      <c r="A29" s="258"/>
      <c r="B29" s="341"/>
      <c r="C29" s="267" t="s">
        <v>191</v>
      </c>
      <c r="D29" s="266">
        <f>D28/(1+'Model input'!$C$11)^(D$4-2021)</f>
        <v>598.31879191667144</v>
      </c>
      <c r="E29" s="266">
        <f>E28/(1+'Model input'!$C$11)^(E$4-2021)</f>
        <v>237.6502345362465</v>
      </c>
      <c r="F29" s="266">
        <f>F28/(1+'Model input'!$C$11)^(F$4-2021)</f>
        <v>440.20102745211443</v>
      </c>
      <c r="G29" s="266">
        <f>G28/(1+'Model input'!$C$11)^(G$4-2021)</f>
        <v>1117.3954802198771</v>
      </c>
      <c r="H29" s="266">
        <f>H28/(1+'Model input'!$C$11)^(H$4-2021)</f>
        <v>697.37424012017209</v>
      </c>
      <c r="I29" s="266">
        <f>I28/(1+'Model input'!$C$11)^(I$4-2021)</f>
        <v>641.19619872668284</v>
      </c>
      <c r="J29" s="266">
        <f>J28/(1+'Model input'!$C$11)^(J$4-2021)</f>
        <v>558.17079101018476</v>
      </c>
      <c r="K29" s="266">
        <f>K28/(1+'Model input'!$C$11)^(K$4-2021)</f>
        <v>482.08176169873218</v>
      </c>
      <c r="L29" s="266">
        <f>L28/(1+'Model input'!$C$11)^(L$4-2021)</f>
        <v>434.75714541542669</v>
      </c>
      <c r="M29" s="266">
        <f>M28/(1+'Model input'!$C$11)^(M$4-2021)</f>
        <v>374.59960604209147</v>
      </c>
      <c r="N29" s="236"/>
      <c r="O29"/>
      <c r="P29"/>
      <c r="Q29"/>
      <c r="R29" s="236"/>
      <c r="S29" s="236"/>
      <c r="T29" s="236"/>
      <c r="U29" s="236"/>
      <c r="V29" s="236"/>
      <c r="W29" s="236"/>
      <c r="X29" s="236"/>
      <c r="Y29" s="271"/>
    </row>
    <row r="30" spans="1:25" s="1" customFormat="1" ht="15.65" customHeight="1" x14ac:dyDescent="0.35">
      <c r="A30" s="258"/>
      <c r="B30" s="342"/>
      <c r="C30" s="267" t="s">
        <v>180</v>
      </c>
      <c r="D30" s="126">
        <f>D29*'Model input'!$D$85</f>
        <v>11.607384563183427</v>
      </c>
      <c r="E30" s="126">
        <f>E29*'Model input'!$D$85</f>
        <v>4.6104145500031821</v>
      </c>
      <c r="F30" s="126">
        <f>F29*'Model input'!$D$85</f>
        <v>8.5398999325710196</v>
      </c>
      <c r="G30" s="126">
        <f>G29*'Model input'!$D$85</f>
        <v>21.677472316265614</v>
      </c>
      <c r="H30" s="126">
        <f>H29*'Model input'!$D$85</f>
        <v>13.52906025833134</v>
      </c>
      <c r="I30" s="126">
        <f>I29*'Model input'!$D$85</f>
        <v>12.439206255297647</v>
      </c>
      <c r="J30" s="126">
        <f>J29*'Model input'!$D$85</f>
        <v>10.828513345597585</v>
      </c>
      <c r="K30" s="126">
        <f>K29*'Model input'!$D$85</f>
        <v>9.3523861769554042</v>
      </c>
      <c r="L30" s="126">
        <f>L29*'Model input'!$D$85</f>
        <v>8.4342886210592773</v>
      </c>
      <c r="M30" s="126">
        <f>M29*'Model input'!$D$85</f>
        <v>7.2672323572165745</v>
      </c>
      <c r="N30" s="236"/>
      <c r="O30"/>
      <c r="P30"/>
      <c r="Q30"/>
      <c r="R30" s="236"/>
      <c r="S30" s="236"/>
      <c r="T30" s="236"/>
      <c r="U30" s="236"/>
      <c r="V30" s="236"/>
      <c r="W30" s="236"/>
      <c r="X30" s="236"/>
      <c r="Y30" s="271"/>
    </row>
    <row r="31" spans="1:25" s="1" customFormat="1" ht="15.65" customHeight="1" x14ac:dyDescent="0.35">
      <c r="A31" s="258"/>
      <c r="B31" s="333" t="s">
        <v>190</v>
      </c>
      <c r="C31" s="334"/>
      <c r="D31" s="154">
        <f t="shared" ref="D31:M31" si="7">SUM(D10,D19,D23,D28)</f>
        <v>-525.88510145387704</v>
      </c>
      <c r="E31" s="154">
        <f t="shared" si="7"/>
        <v>-551.44446939696536</v>
      </c>
      <c r="F31" s="154">
        <f t="shared" si="7"/>
        <v>921.23067116784375</v>
      </c>
      <c r="G31" s="154">
        <f t="shared" si="7"/>
        <v>11511.512867051719</v>
      </c>
      <c r="H31" s="154">
        <f t="shared" si="7"/>
        <v>10901.447061911114</v>
      </c>
      <c r="I31" s="154">
        <f t="shared" si="7"/>
        <v>11205.839013404189</v>
      </c>
      <c r="J31" s="154">
        <f t="shared" si="7"/>
        <v>10064.919337001387</v>
      </c>
      <c r="K31" s="154">
        <f t="shared" si="7"/>
        <v>8778.5768570657856</v>
      </c>
      <c r="L31" s="154">
        <f t="shared" si="7"/>
        <v>8583.9453721598911</v>
      </c>
      <c r="M31" s="154">
        <f t="shared" si="7"/>
        <v>7316.5868312736138</v>
      </c>
      <c r="N31" s="236"/>
      <c r="O31"/>
      <c r="P31"/>
      <c r="Q31"/>
      <c r="R31" s="236"/>
      <c r="S31" s="236"/>
      <c r="T31" s="236"/>
      <c r="U31" s="236"/>
      <c r="V31" s="236"/>
      <c r="W31" s="236"/>
      <c r="X31" s="236"/>
      <c r="Y31" s="271"/>
    </row>
    <row r="32" spans="1:25" s="1" customFormat="1" ht="15.65" customHeight="1" x14ac:dyDescent="0.35">
      <c r="A32" s="258"/>
      <c r="B32" s="333" t="s">
        <v>191</v>
      </c>
      <c r="C32" s="334"/>
      <c r="D32" s="154">
        <f t="shared" ref="D32:M32" si="8">SUM(D11,D20,D24,D29)</f>
        <v>-478.07736495807012</v>
      </c>
      <c r="E32" s="154">
        <f t="shared" si="8"/>
        <v>-455.73923090658292</v>
      </c>
      <c r="F32" s="154">
        <f t="shared" si="8"/>
        <v>692.13423829289513</v>
      </c>
      <c r="G32" s="154">
        <f t="shared" si="8"/>
        <v>7862.5181798044632</v>
      </c>
      <c r="H32" s="154">
        <f t="shared" si="8"/>
        <v>6768.9409329411847</v>
      </c>
      <c r="I32" s="154">
        <f t="shared" si="8"/>
        <v>6325.4039874462032</v>
      </c>
      <c r="J32" s="154">
        <f t="shared" si="8"/>
        <v>5164.8950671194816</v>
      </c>
      <c r="K32" s="154">
        <f t="shared" si="8"/>
        <v>4095.2708915595531</v>
      </c>
      <c r="L32" s="154">
        <f t="shared" si="8"/>
        <v>3640.4307885725216</v>
      </c>
      <c r="M32" s="154">
        <f t="shared" si="8"/>
        <v>2820.8609543260218</v>
      </c>
      <c r="N32" s="236"/>
      <c r="O32"/>
      <c r="P32"/>
      <c r="Q32"/>
      <c r="R32" s="236"/>
      <c r="S32" s="236"/>
      <c r="T32" s="236"/>
      <c r="U32" s="236"/>
      <c r="V32" s="236"/>
      <c r="W32" s="236"/>
      <c r="X32" s="236"/>
      <c r="Y32" s="271"/>
    </row>
    <row r="33" spans="1:25" ht="15.65" customHeight="1" x14ac:dyDescent="0.35">
      <c r="A33" s="66"/>
      <c r="B33" s="333" t="s">
        <v>195</v>
      </c>
      <c r="C33" s="334"/>
      <c r="D33" s="154">
        <f t="shared" ref="D33:M33" si="9">SUM(D12,D21,D25,D30)</f>
        <v>-9.2747008801865576</v>
      </c>
      <c r="E33" s="154">
        <f t="shared" si="9"/>
        <v>-8.841341079587707</v>
      </c>
      <c r="F33" s="154">
        <f t="shared" si="9"/>
        <v>13.427404222882167</v>
      </c>
      <c r="G33" s="154">
        <f t="shared" si="9"/>
        <v>152.53285268820659</v>
      </c>
      <c r="H33" s="154">
        <f t="shared" si="9"/>
        <v>131.31745409905901</v>
      </c>
      <c r="I33" s="154">
        <f t="shared" si="9"/>
        <v>122.71283735645633</v>
      </c>
      <c r="J33" s="154">
        <f t="shared" si="9"/>
        <v>100.19896430211794</v>
      </c>
      <c r="K33" s="154">
        <f t="shared" si="9"/>
        <v>79.448255296255326</v>
      </c>
      <c r="L33" s="154">
        <f t="shared" si="9"/>
        <v>70.624357298306919</v>
      </c>
      <c r="M33" s="154">
        <f t="shared" si="9"/>
        <v>54.724702513924825</v>
      </c>
      <c r="Y33" s="65"/>
    </row>
    <row r="34" spans="1:25" ht="14.5" customHeight="1" x14ac:dyDescent="0.35">
      <c r="A34" s="66"/>
      <c r="Y34" s="65"/>
    </row>
    <row r="35" spans="1:25" ht="20.5" x14ac:dyDescent="0.45">
      <c r="A35" s="66"/>
      <c r="B35" s="117" t="s">
        <v>196</v>
      </c>
      <c r="O35" s="9" t="s">
        <v>197</v>
      </c>
      <c r="P35" s="9"/>
      <c r="Q35" s="9"/>
      <c r="R35" s="9"/>
      <c r="S35" s="9"/>
      <c r="T35" s="9"/>
      <c r="U35" s="9"/>
      <c r="V35" s="9"/>
      <c r="W35" s="9"/>
      <c r="X35" s="9"/>
      <c r="Y35" s="89"/>
    </row>
    <row r="36" spans="1:25" s="1" customFormat="1" ht="15.5" x14ac:dyDescent="0.35">
      <c r="A36" s="258"/>
      <c r="B36" s="123" t="s">
        <v>101</v>
      </c>
      <c r="C36" s="124"/>
      <c r="D36" s="125">
        <v>2023</v>
      </c>
      <c r="E36" s="125">
        <v>2024</v>
      </c>
      <c r="F36" s="125">
        <v>2025</v>
      </c>
      <c r="G36" s="125">
        <v>2026</v>
      </c>
      <c r="H36" s="125">
        <v>2027</v>
      </c>
      <c r="I36" s="125">
        <v>2028</v>
      </c>
      <c r="J36" s="125">
        <v>2029</v>
      </c>
      <c r="K36" s="125">
        <v>2030</v>
      </c>
      <c r="L36" s="125">
        <v>2031</v>
      </c>
      <c r="M36" s="125">
        <v>2032</v>
      </c>
      <c r="N36" s="236"/>
      <c r="O36" s="8"/>
      <c r="P36" s="4">
        <v>2023</v>
      </c>
      <c r="Q36" s="4">
        <v>2024</v>
      </c>
      <c r="R36" s="4">
        <v>2025</v>
      </c>
      <c r="S36" s="4">
        <v>2026</v>
      </c>
      <c r="T36" s="4">
        <v>2027</v>
      </c>
      <c r="U36" s="4">
        <v>2028</v>
      </c>
      <c r="V36" s="4">
        <v>2029</v>
      </c>
      <c r="W36" s="4">
        <v>2030</v>
      </c>
      <c r="X36" s="4">
        <v>2031</v>
      </c>
      <c r="Y36" s="4">
        <v>2032</v>
      </c>
    </row>
    <row r="37" spans="1:25" s="1" customFormat="1" x14ac:dyDescent="0.35">
      <c r="A37" s="258"/>
      <c r="B37" s="339" t="s">
        <v>170</v>
      </c>
      <c r="C37" s="224" t="s">
        <v>171</v>
      </c>
      <c r="D37" s="260">
        <f>D5</f>
        <v>0.34</v>
      </c>
      <c r="E37" s="260">
        <f>D37</f>
        <v>0.34</v>
      </c>
      <c r="F37" s="260">
        <f>E37</f>
        <v>0.34</v>
      </c>
      <c r="G37" s="260">
        <f>F37-F37*'Model input'!C23</f>
        <v>0.31518000000000002</v>
      </c>
      <c r="H37" s="260">
        <f>G37-G37*'Model input'!C23</f>
        <v>0.29217186000000001</v>
      </c>
      <c r="I37" s="260">
        <f>H37-H37*'Model input'!C23</f>
        <v>0.27084331422000002</v>
      </c>
      <c r="J37" s="260">
        <f>I37-I37*0.073</f>
        <v>0.25107175228194001</v>
      </c>
      <c r="K37" s="260">
        <f>J37-J37*'Model input'!C23</f>
        <v>0.23274351436535839</v>
      </c>
      <c r="L37" s="260">
        <f>K37-K37*'Model input'!C23</f>
        <v>0.21575323781668723</v>
      </c>
      <c r="M37" s="260">
        <f>L37-L37*'Model input'!C23</f>
        <v>0.20000325145606906</v>
      </c>
      <c r="N37" s="236"/>
      <c r="O37" s="3" t="s">
        <v>172</v>
      </c>
      <c r="P37" s="5">
        <f t="shared" ref="P37:Y37" si="10">D48</f>
        <v>43.068799999999996</v>
      </c>
      <c r="Q37" s="5">
        <f t="shared" si="10"/>
        <v>39.04900710511933</v>
      </c>
      <c r="R37" s="5">
        <f t="shared" si="10"/>
        <v>38.686409182000368</v>
      </c>
      <c r="S37" s="5">
        <f t="shared" si="10"/>
        <v>12.857489999999999</v>
      </c>
      <c r="T37" s="5">
        <f t="shared" si="10"/>
        <v>11.048814024209999</v>
      </c>
      <c r="U37" s="5">
        <f t="shared" si="10"/>
        <v>9.4945663066103556</v>
      </c>
      <c r="V37" s="5">
        <f t="shared" si="10"/>
        <v>8.1589561696931696</v>
      </c>
      <c r="W37" s="5">
        <f t="shared" si="10"/>
        <v>7.0112276463462626</v>
      </c>
      <c r="X37" s="5">
        <f t="shared" si="10"/>
        <v>6.024951242107087</v>
      </c>
      <c r="Y37" s="5">
        <f t="shared" si="10"/>
        <v>5.1774153259286422</v>
      </c>
    </row>
    <row r="38" spans="1:25" s="2" customFormat="1" x14ac:dyDescent="0.35">
      <c r="A38" s="135"/>
      <c r="B38" s="339"/>
      <c r="C38" s="224" t="s">
        <v>173</v>
      </c>
      <c r="D38" s="269">
        <f>D37*'Model input'!$C$35*'Model input'!$C$34*'Model input'!$C$17</f>
        <v>23.18834</v>
      </c>
      <c r="E38" s="269">
        <f>E37*'Model input'!$C$35*'Model input'!$C$34*'Model input'!$C$17</f>
        <v>23.18834</v>
      </c>
      <c r="F38" s="269">
        <f>F37*'Model input'!$C$35*'Model input'!$C$34*'Model input'!$C$17</f>
        <v>23.18834</v>
      </c>
      <c r="G38" s="269">
        <f>G37*'Model input'!$C$35*'Model input'!$C$34*'Model input'!$C$17</f>
        <v>21.495591180000002</v>
      </c>
      <c r="H38" s="269">
        <f>H37*'Model input'!$C$35*'Model input'!$C$34*'Model input'!$C$17</f>
        <v>19.926413023859997</v>
      </c>
      <c r="I38" s="269">
        <f>I37*'Model input'!$C$35*'Model input'!$C$34*'Model input'!$C$17</f>
        <v>18.471784873118221</v>
      </c>
      <c r="J38" s="269">
        <f>J37*'Model input'!$C$35*'Model input'!$C$34*'Model input'!$C$17</f>
        <v>17.123344577380589</v>
      </c>
      <c r="K38" s="269">
        <f>K37*'Model input'!$C$35*'Model input'!$C$34*'Model input'!$C$17</f>
        <v>15.873340423231808</v>
      </c>
      <c r="L38" s="269">
        <f>L37*'Model input'!$C$35*'Model input'!$C$34*'Model input'!$C$17</f>
        <v>14.714586572335884</v>
      </c>
      <c r="M38" s="269">
        <f>M37*'Model input'!$C$35*'Model input'!$C$34*'Model input'!$C$17</f>
        <v>13.640421752555364</v>
      </c>
      <c r="O38" s="3" t="s">
        <v>174</v>
      </c>
      <c r="P38" s="5">
        <v>0</v>
      </c>
      <c r="Q38" s="5">
        <f t="shared" ref="Q38:Y45" si="11">P37</f>
        <v>43.068799999999996</v>
      </c>
      <c r="R38" s="5">
        <f t="shared" si="11"/>
        <v>39.04900710511933</v>
      </c>
      <c r="S38" s="5">
        <f t="shared" si="11"/>
        <v>38.686409182000368</v>
      </c>
      <c r="T38" s="5">
        <f t="shared" si="11"/>
        <v>12.857489999999999</v>
      </c>
      <c r="U38" s="5">
        <f t="shared" si="11"/>
        <v>11.048814024209999</v>
      </c>
      <c r="V38" s="5">
        <f t="shared" si="11"/>
        <v>9.4945663066103556</v>
      </c>
      <c r="W38" s="5">
        <f t="shared" si="11"/>
        <v>8.1589561696931696</v>
      </c>
      <c r="X38" s="5">
        <f t="shared" si="11"/>
        <v>7.0112276463462626</v>
      </c>
      <c r="Y38" s="5">
        <f t="shared" si="11"/>
        <v>6.024951242107087</v>
      </c>
    </row>
    <row r="39" spans="1:25" s="2" customFormat="1" x14ac:dyDescent="0.35">
      <c r="A39" s="135"/>
      <c r="B39" s="339"/>
      <c r="C39" s="224" t="s">
        <v>198</v>
      </c>
      <c r="D39" s="261">
        <f>D38/'Model input'!$C$45</f>
        <v>0.46376679999999998</v>
      </c>
      <c r="E39" s="261">
        <f>E38/'Model input'!$C$45</f>
        <v>0.46376679999999998</v>
      </c>
      <c r="F39" s="261">
        <f>F38/'Model input'!$C$45</f>
        <v>0.46376679999999998</v>
      </c>
      <c r="G39" s="261">
        <f>G38/'Model input'!$C$45</f>
        <v>0.42991182360000002</v>
      </c>
      <c r="H39" s="261">
        <f>H38/'Model input'!$C$45</f>
        <v>0.39852826047719991</v>
      </c>
      <c r="I39" s="261">
        <f>I38/'Model input'!$C$45</f>
        <v>0.36943569746236443</v>
      </c>
      <c r="J39" s="261">
        <f>J38/'Model input'!$C$45</f>
        <v>0.34246689154761178</v>
      </c>
      <c r="K39" s="261">
        <f>K38/'Model input'!$C$45</f>
        <v>0.31746680846463615</v>
      </c>
      <c r="L39" s="261">
        <f>L38/'Model input'!$C$45</f>
        <v>0.29429173144671766</v>
      </c>
      <c r="M39" s="261">
        <f>M38/'Model input'!$C$45</f>
        <v>0.2728084350511073</v>
      </c>
      <c r="O39" s="3" t="s">
        <v>107</v>
      </c>
      <c r="P39" s="5">
        <v>0</v>
      </c>
      <c r="Q39" s="5">
        <f t="shared" si="11"/>
        <v>0</v>
      </c>
      <c r="R39" s="5">
        <f t="shared" si="11"/>
        <v>43.068799999999996</v>
      </c>
      <c r="S39" s="5">
        <f t="shared" si="11"/>
        <v>39.04900710511933</v>
      </c>
      <c r="T39" s="5">
        <f t="shared" si="11"/>
        <v>38.686409182000368</v>
      </c>
      <c r="U39" s="5">
        <f t="shared" si="11"/>
        <v>12.857489999999999</v>
      </c>
      <c r="V39" s="5">
        <f t="shared" si="11"/>
        <v>11.048814024209999</v>
      </c>
      <c r="W39" s="5">
        <f t="shared" si="11"/>
        <v>9.4945663066103556</v>
      </c>
      <c r="X39" s="5">
        <f t="shared" si="11"/>
        <v>8.1589561696931696</v>
      </c>
      <c r="Y39" s="5">
        <f t="shared" si="11"/>
        <v>7.0112276463462626</v>
      </c>
    </row>
    <row r="40" spans="1:25" s="2" customFormat="1" x14ac:dyDescent="0.35">
      <c r="A40" s="135"/>
      <c r="B40" s="339"/>
      <c r="C40" s="224" t="s">
        <v>199</v>
      </c>
      <c r="D40" s="264">
        <f>D39*'Model input'!F52</f>
        <v>44.723328750510404</v>
      </c>
      <c r="E40" s="264">
        <f>E39*'Model input'!G52</f>
        <v>40.181021232071252</v>
      </c>
      <c r="F40" s="264">
        <f>F39*'Model input'!H52</f>
        <v>40.181021232071252</v>
      </c>
      <c r="G40" s="264">
        <f>G39*'Model input'!I52</f>
        <v>37.247806682130054</v>
      </c>
      <c r="H40" s="264">
        <f>H39*'Model input'!J52</f>
        <v>34.528716794334549</v>
      </c>
      <c r="I40" s="264">
        <f>I39*'Model input'!K52</f>
        <v>32.008120468348139</v>
      </c>
      <c r="J40" s="264">
        <f>J39*'Model input'!L52</f>
        <v>29.671527674158721</v>
      </c>
      <c r="K40" s="264">
        <f>K39*'Model input'!M52</f>
        <v>27.505506153945138</v>
      </c>
      <c r="L40" s="264">
        <f>L39*'Model input'!N52</f>
        <v>25.497604204707137</v>
      </c>
      <c r="M40" s="264">
        <f>M39*'Model input'!O52</f>
        <v>23.63627909776352</v>
      </c>
      <c r="O40" s="3" t="s">
        <v>108</v>
      </c>
      <c r="P40" s="5">
        <v>0</v>
      </c>
      <c r="Q40" s="5">
        <f t="shared" si="11"/>
        <v>0</v>
      </c>
      <c r="R40" s="5">
        <f t="shared" si="11"/>
        <v>0</v>
      </c>
      <c r="S40" s="5">
        <f t="shared" si="11"/>
        <v>43.068799999999996</v>
      </c>
      <c r="T40" s="5">
        <f t="shared" si="11"/>
        <v>39.04900710511933</v>
      </c>
      <c r="U40" s="5">
        <f t="shared" si="11"/>
        <v>38.686409182000368</v>
      </c>
      <c r="V40" s="5">
        <f t="shared" si="11"/>
        <v>12.857489999999999</v>
      </c>
      <c r="W40" s="5">
        <f t="shared" si="11"/>
        <v>11.048814024209999</v>
      </c>
      <c r="X40" s="5">
        <f t="shared" si="11"/>
        <v>9.4945663066103556</v>
      </c>
      <c r="Y40" s="5">
        <f t="shared" si="11"/>
        <v>8.1589561696931696</v>
      </c>
    </row>
    <row r="41" spans="1:25" s="2" customFormat="1" x14ac:dyDescent="0.35">
      <c r="A41" s="135"/>
      <c r="B41" s="339"/>
      <c r="C41" s="224" t="s">
        <v>200</v>
      </c>
      <c r="D41" s="266">
        <f>D38*'Model input'!E64</f>
        <v>543.76156655253112</v>
      </c>
      <c r="E41" s="266">
        <f>E38*'Model input'!F64</f>
        <v>942.55560017247217</v>
      </c>
      <c r="F41" s="266">
        <f>F38*'Model input'!G64</f>
        <v>1989.8595849722951</v>
      </c>
      <c r="G41" s="266">
        <f>G38*'Model input'!H64</f>
        <v>1060.0890263304188</v>
      </c>
      <c r="H41" s="266">
        <f>H38*'Model input'!I64</f>
        <v>982.7025274082979</v>
      </c>
      <c r="I41" s="266">
        <f>I38*'Model input'!J64</f>
        <v>910.96524290749232</v>
      </c>
      <c r="J41" s="266">
        <f>J38*'Model input'!K64</f>
        <v>844.46478017524532</v>
      </c>
      <c r="K41" s="266">
        <f>K38*'Model input'!L64</f>
        <v>782.81885122245251</v>
      </c>
      <c r="L41" s="266">
        <f>L38*'Model input'!M64</f>
        <v>725.67307508321346</v>
      </c>
      <c r="M41" s="266">
        <f>M38*'Model input'!N64</f>
        <v>672.6989406021388</v>
      </c>
      <c r="O41" s="3" t="s">
        <v>109</v>
      </c>
      <c r="P41" s="5">
        <v>0</v>
      </c>
      <c r="Q41" s="5">
        <f t="shared" si="11"/>
        <v>0</v>
      </c>
      <c r="R41" s="5">
        <f t="shared" si="11"/>
        <v>0</v>
      </c>
      <c r="S41" s="5">
        <f t="shared" si="11"/>
        <v>0</v>
      </c>
      <c r="T41" s="5">
        <f t="shared" si="11"/>
        <v>43.068799999999996</v>
      </c>
      <c r="U41" s="5">
        <f t="shared" si="11"/>
        <v>39.04900710511933</v>
      </c>
      <c r="V41" s="5">
        <f t="shared" si="11"/>
        <v>38.686409182000368</v>
      </c>
      <c r="W41" s="5">
        <f t="shared" si="11"/>
        <v>12.857489999999999</v>
      </c>
      <c r="X41" s="5">
        <f t="shared" si="11"/>
        <v>11.048814024209999</v>
      </c>
      <c r="Y41" s="5">
        <f t="shared" si="11"/>
        <v>9.4945663066103556</v>
      </c>
    </row>
    <row r="42" spans="1:25" s="2" customFormat="1" x14ac:dyDescent="0.35">
      <c r="A42" s="135"/>
      <c r="B42" s="339"/>
      <c r="C42" s="267" t="s">
        <v>201</v>
      </c>
      <c r="D42" s="266">
        <f t="shared" ref="D42:M42" si="12">D41-D40</f>
        <v>499.03823780202072</v>
      </c>
      <c r="E42" s="266">
        <f t="shared" si="12"/>
        <v>902.37457894040097</v>
      </c>
      <c r="F42" s="266">
        <f t="shared" si="12"/>
        <v>1949.6785637402238</v>
      </c>
      <c r="G42" s="266">
        <f t="shared" si="12"/>
        <v>1022.8412196482888</v>
      </c>
      <c r="H42" s="266">
        <f t="shared" si="12"/>
        <v>948.17381061396338</v>
      </c>
      <c r="I42" s="266">
        <f t="shared" si="12"/>
        <v>878.9571224391442</v>
      </c>
      <c r="J42" s="266">
        <f t="shared" si="12"/>
        <v>814.79325250108661</v>
      </c>
      <c r="K42" s="266">
        <f t="shared" si="12"/>
        <v>755.31334506850737</v>
      </c>
      <c r="L42" s="266">
        <f t="shared" si="12"/>
        <v>700.1754708785063</v>
      </c>
      <c r="M42" s="266">
        <f t="shared" si="12"/>
        <v>649.06266150437523</v>
      </c>
      <c r="O42" s="3" t="s">
        <v>110</v>
      </c>
      <c r="P42" s="5">
        <v>0</v>
      </c>
      <c r="Q42" s="5">
        <f t="shared" si="11"/>
        <v>0</v>
      </c>
      <c r="R42" s="5">
        <f t="shared" si="11"/>
        <v>0</v>
      </c>
      <c r="S42" s="5">
        <f t="shared" si="11"/>
        <v>0</v>
      </c>
      <c r="T42" s="5">
        <f t="shared" si="11"/>
        <v>0</v>
      </c>
      <c r="U42" s="5">
        <f t="shared" si="11"/>
        <v>43.068799999999996</v>
      </c>
      <c r="V42" s="5">
        <f t="shared" si="11"/>
        <v>39.04900710511933</v>
      </c>
      <c r="W42" s="5">
        <f t="shared" si="11"/>
        <v>38.686409182000368</v>
      </c>
      <c r="X42" s="5">
        <f t="shared" si="11"/>
        <v>12.857489999999999</v>
      </c>
      <c r="Y42" s="5">
        <f t="shared" si="11"/>
        <v>11.048814024209999</v>
      </c>
    </row>
    <row r="43" spans="1:25" s="2" customFormat="1" x14ac:dyDescent="0.35">
      <c r="A43" s="135"/>
      <c r="B43" s="339"/>
      <c r="C43" s="267" t="s">
        <v>202</v>
      </c>
      <c r="D43" s="266">
        <f>D42/(1+'Model input'!$C$11)^(D$36-2022)</f>
        <v>453.67112527456425</v>
      </c>
      <c r="E43" s="266">
        <f>E42/(1+'Model input'!$C$11)^(E$36-2022)</f>
        <v>745.76411482677759</v>
      </c>
      <c r="F43" s="266">
        <f>F42/(1+'Model input'!$C$11)^(F$36-2022)</f>
        <v>1464.8223619385599</v>
      </c>
      <c r="G43" s="266">
        <f>G42/(1+'Model input'!$C$11)^(G$36-2022)</f>
        <v>698.61431572180072</v>
      </c>
      <c r="H43" s="266">
        <f>H42/(1+'Model input'!$C$11)^(H$36-2022)</f>
        <v>588.74133697646278</v>
      </c>
      <c r="I43" s="266">
        <f>I42/(1+'Model input'!$C$11)^(I$36-2022)</f>
        <v>496.14838125198276</v>
      </c>
      <c r="J43" s="266">
        <f>J42/(1+'Model input'!$C$11)^(J$36-2022)</f>
        <v>418.11777220053443</v>
      </c>
      <c r="K43" s="266">
        <f>K42/(1+'Model input'!$C$11)^(K$36-2022)</f>
        <v>352.35924984535956</v>
      </c>
      <c r="L43" s="266">
        <f>L42/(1+'Model input'!$C$11)^(L$36-2022)</f>
        <v>296.94274964240753</v>
      </c>
      <c r="M43" s="266">
        <f>M42/(1+'Model input'!$C$11)^(M$36-2022)</f>
        <v>250.24175356228335</v>
      </c>
      <c r="O43" s="3" t="s">
        <v>111</v>
      </c>
      <c r="P43" s="5">
        <v>0</v>
      </c>
      <c r="Q43" s="5">
        <f t="shared" si="11"/>
        <v>0</v>
      </c>
      <c r="R43" s="5">
        <f t="shared" si="11"/>
        <v>0</v>
      </c>
      <c r="S43" s="5">
        <f t="shared" si="11"/>
        <v>0</v>
      </c>
      <c r="T43" s="5">
        <f t="shared" si="11"/>
        <v>0</v>
      </c>
      <c r="U43" s="5">
        <f t="shared" si="11"/>
        <v>0</v>
      </c>
      <c r="V43" s="5">
        <f t="shared" si="11"/>
        <v>43.068799999999996</v>
      </c>
      <c r="W43" s="5">
        <f t="shared" si="11"/>
        <v>39.04900710511933</v>
      </c>
      <c r="X43" s="5">
        <f t="shared" si="11"/>
        <v>38.686409182000368</v>
      </c>
      <c r="Y43" s="5">
        <f t="shared" si="11"/>
        <v>12.857489999999999</v>
      </c>
    </row>
    <row r="44" spans="1:25" s="2" customFormat="1" x14ac:dyDescent="0.35">
      <c r="A44" s="135"/>
      <c r="B44" s="339"/>
      <c r="C44" s="267" t="s">
        <v>179</v>
      </c>
      <c r="D44" s="266">
        <f>D43/('Model input'!$E$79/'Model input'!$D$79)</f>
        <v>340.21192157917795</v>
      </c>
      <c r="E44" s="266">
        <f>E43/('Model input'!$E$79/'Model input'!$D$79)</f>
        <v>559.25499423500071</v>
      </c>
      <c r="F44" s="266">
        <f>F43/('Model input'!$E$79/'Model input'!$D$79)</f>
        <v>1098.4830260591598</v>
      </c>
      <c r="G44" s="266">
        <f>G43/('Model input'!$E$79/'Model input'!$D$79)</f>
        <v>523.89694991188378</v>
      </c>
      <c r="H44" s="266">
        <f>H43/('Model input'!$E$79/'Model input'!$D$79)</f>
        <v>441.50224778937826</v>
      </c>
      <c r="I44" s="266">
        <f>I43/('Model input'!$E$79/'Model input'!$D$79)</f>
        <v>372.06598518250331</v>
      </c>
      <c r="J44" s="266">
        <f>J43/('Model input'!$E$79/'Model input'!$D$79)</f>
        <v>313.55015296743682</v>
      </c>
      <c r="K44" s="266">
        <f>K43/('Model input'!$E$79/'Model input'!$D$79)</f>
        <v>264.23726527346724</v>
      </c>
      <c r="L44" s="266">
        <f>L43/('Model input'!$E$79/'Model input'!$D$79)</f>
        <v>222.67994991682193</v>
      </c>
      <c r="M44" s="266">
        <f>M43/('Model input'!$E$79/'Model input'!$D$79)</f>
        <v>187.65846688444896</v>
      </c>
      <c r="O44" s="3" t="s">
        <v>112</v>
      </c>
      <c r="P44" s="5">
        <v>0</v>
      </c>
      <c r="Q44" s="5">
        <f t="shared" si="11"/>
        <v>0</v>
      </c>
      <c r="R44" s="5">
        <f t="shared" si="11"/>
        <v>0</v>
      </c>
      <c r="S44" s="5">
        <f t="shared" si="11"/>
        <v>0</v>
      </c>
      <c r="T44" s="5">
        <f t="shared" si="11"/>
        <v>0</v>
      </c>
      <c r="U44" s="5">
        <f t="shared" si="11"/>
        <v>0</v>
      </c>
      <c r="V44" s="5">
        <f t="shared" si="11"/>
        <v>0</v>
      </c>
      <c r="W44" s="5">
        <f t="shared" si="11"/>
        <v>43.068799999999996</v>
      </c>
      <c r="X44" s="5">
        <f t="shared" si="11"/>
        <v>39.04900710511933</v>
      </c>
      <c r="Y44" s="5">
        <f t="shared" si="11"/>
        <v>38.686409182000368</v>
      </c>
    </row>
    <row r="45" spans="1:25" s="2" customFormat="1" x14ac:dyDescent="0.35">
      <c r="A45" s="135"/>
      <c r="B45" s="339"/>
      <c r="C45" s="267" t="s">
        <v>180</v>
      </c>
      <c r="D45" s="155">
        <f>D44*'Model input'!$D$85</f>
        <v>6.6001112786360521</v>
      </c>
      <c r="E45" s="155">
        <f>E44*'Model input'!$D$85</f>
        <v>10.849546888159015</v>
      </c>
      <c r="F45" s="155">
        <f>F44*'Model input'!$D$85</f>
        <v>21.3105707055477</v>
      </c>
      <c r="G45" s="155">
        <f>G44*'Model input'!$D$85</f>
        <v>10.163600828290546</v>
      </c>
      <c r="H45" s="155">
        <f>H44*'Model input'!$D$85</f>
        <v>8.5651436071139386</v>
      </c>
      <c r="I45" s="155">
        <f>I44*'Model input'!$D$85</f>
        <v>7.218080112540564</v>
      </c>
      <c r="J45" s="155">
        <f>J44*'Model input'!$D$85</f>
        <v>6.0828729675682744</v>
      </c>
      <c r="K45" s="155">
        <f>K44*'Model input'!$D$85</f>
        <v>5.1262029463052645</v>
      </c>
      <c r="L45" s="155">
        <f>L44*'Model input'!$D$85</f>
        <v>4.3199910283863456</v>
      </c>
      <c r="M45" s="155">
        <f>M44*'Model input'!$D$85</f>
        <v>3.6405742575583098</v>
      </c>
      <c r="O45" s="3" t="s">
        <v>113</v>
      </c>
      <c r="P45" s="5">
        <v>0</v>
      </c>
      <c r="Q45" s="5">
        <f t="shared" si="11"/>
        <v>0</v>
      </c>
      <c r="R45" s="5">
        <f t="shared" si="11"/>
        <v>0</v>
      </c>
      <c r="S45" s="5">
        <f t="shared" si="11"/>
        <v>0</v>
      </c>
      <c r="T45" s="5">
        <f t="shared" si="11"/>
        <v>0</v>
      </c>
      <c r="U45" s="5">
        <f t="shared" si="11"/>
        <v>0</v>
      </c>
      <c r="V45" s="5">
        <f t="shared" si="11"/>
        <v>0</v>
      </c>
      <c r="W45" s="5">
        <f t="shared" si="11"/>
        <v>0</v>
      </c>
      <c r="X45" s="5">
        <f t="shared" si="11"/>
        <v>43.068799999999996</v>
      </c>
      <c r="Y45" s="5">
        <f t="shared" si="11"/>
        <v>39.04900710511933</v>
      </c>
    </row>
    <row r="46" spans="1:25" s="1" customFormat="1" x14ac:dyDescent="0.35">
      <c r="A46" s="258"/>
      <c r="B46" s="338" t="s">
        <v>60</v>
      </c>
      <c r="C46" s="273" t="s">
        <v>203</v>
      </c>
      <c r="D46" s="278">
        <f>D13</f>
        <v>0.313</v>
      </c>
      <c r="E46" s="259">
        <f>4593/'Model input'!$D$71</f>
        <v>0.27892147932228095</v>
      </c>
      <c r="F46" s="260">
        <f>E46</f>
        <v>0.27892147932228095</v>
      </c>
      <c r="G46" s="260">
        <v>0.1</v>
      </c>
      <c r="H46" s="260">
        <f t="shared" ref="H46:M47" si="13">G46-G46*0.073</f>
        <v>9.2700000000000005E-2</v>
      </c>
      <c r="I46" s="260">
        <f t="shared" si="13"/>
        <v>8.5932900000000007E-2</v>
      </c>
      <c r="J46" s="260">
        <f t="shared" si="13"/>
        <v>7.9659798300000001E-2</v>
      </c>
      <c r="K46" s="260">
        <f t="shared" si="13"/>
        <v>7.3844633024100007E-2</v>
      </c>
      <c r="L46" s="260">
        <f t="shared" si="13"/>
        <v>6.8453974813340701E-2</v>
      </c>
      <c r="M46" s="260">
        <f t="shared" si="13"/>
        <v>6.3456834651966831E-2</v>
      </c>
      <c r="N46" s="236"/>
      <c r="O46" s="6" t="s">
        <v>183</v>
      </c>
      <c r="P46" s="7">
        <f>P37*'Model input'!$C$58+P38*'Model input'!$D$58+P39*'Model input'!$E$58+P40*'Model input'!$F$58+P41*'Model input'!$G$58+P42*'Model input'!$H$58+P43*'Model input'!$I$58+P44*'Model input'!$J$58+P45*'Model input'!$K$58</f>
        <v>-47.375680000000003</v>
      </c>
      <c r="Q46" s="7">
        <f>Q37*'Model input'!$C$58+Q38*'Model input'!$D$58+Q39*'Model input'!$E$58+Q40*'Model input'!$F$58+Q41*'Model input'!$G$58+Q42*'Model input'!$H$58+Q43*'Model input'!$I$58+Q44*'Model input'!$J$58+Q45*'Model input'!$K$58</f>
        <v>-60.184442631631271</v>
      </c>
      <c r="R46" s="7">
        <f>R37*'Model input'!$C$58+R38*'Model input'!$D$58+R39*'Model input'!$E$58+R40*'Model input'!$F$58+R41*'Model input'!$G$58+R42*'Model input'!$H$58+R43*'Model input'!$I$58+R44*'Model input'!$J$58+R45*'Model input'!$K$58</f>
        <v>15.0361281232545</v>
      </c>
      <c r="S46" s="7">
        <f>S37*'Model input'!$C$58+S38*'Model input'!$D$58+S39*'Model input'!$E$58+S40*'Model input'!$F$58+S41*'Model input'!$G$58+S42*'Model input'!$H$58+S43*'Model input'!$I$58+S44*'Model input'!$J$58+S45*'Model input'!$K$58</f>
        <v>122.89383193269157</v>
      </c>
      <c r="T46" s="7">
        <f>T37*'Model input'!$C$58+T38*'Model input'!$D$58+T39*'Model input'!$E$58+T40*'Model input'!$F$58+T41*'Model input'!$G$58+T42*'Model input'!$H$58+T43*'Model input'!$I$58+T44*'Model input'!$J$58+T45*'Model input'!$K$58</f>
        <v>204.08493953540531</v>
      </c>
      <c r="U46" s="7">
        <f>U37*'Model input'!$C$58+U38*'Model input'!$D$58+U39*'Model input'!$E$58+U40*'Model input'!$F$58+U41*'Model input'!$G$58+U42*'Model input'!$H$58+U43*'Model input'!$I$58+U44*'Model input'!$J$58+U45*'Model input'!$K$58</f>
        <v>210.63975867734388</v>
      </c>
      <c r="V46" s="7">
        <f>V37*'Model input'!$C$58+V38*'Model input'!$D$58+V39*'Model input'!$E$58+V40*'Model input'!$F$58+V41*'Model input'!$G$58+V42*'Model input'!$H$58+V43*'Model input'!$I$58+V44*'Model input'!$J$58+V45*'Model input'!$K$58</f>
        <v>190.88387417214273</v>
      </c>
      <c r="W46" s="7">
        <f>W37*'Model input'!$C$58+W38*'Model input'!$D$58+W39*'Model input'!$E$58+W40*'Model input'!$F$58+W41*'Model input'!$G$58+W42*'Model input'!$H$58+W43*'Model input'!$I$58+W44*'Model input'!$J$58+W45*'Model input'!$K$58</f>
        <v>170.29520362464899</v>
      </c>
      <c r="X46" s="7">
        <f>X37*'Model input'!$C$58+X38*'Model input'!$D$58+X39*'Model input'!$E$58+X40*'Model input'!$F$58+X41*'Model input'!$G$58+X42*'Model input'!$H$58+X43*'Model input'!$I$58+X44*'Model input'!$J$58+X45*'Model input'!$K$58</f>
        <v>173.46077380058324</v>
      </c>
      <c r="Y46" s="7">
        <f>Y37*'Model input'!$C$58+Y38*'Model input'!$D$58+Y39*'Model input'!$E$58+Y40*'Model input'!$F$58+Y41*'Model input'!$G$58+Y42*'Model input'!$H$58+Y43*'Model input'!$I$58+Y44*'Model input'!$J$58+Y45*'Model input'!$K$58</f>
        <v>137.05868036612162</v>
      </c>
    </row>
    <row r="47" spans="1:25" s="1" customFormat="1" x14ac:dyDescent="0.35">
      <c r="A47" s="258"/>
      <c r="B47" s="338"/>
      <c r="C47" s="224" t="s">
        <v>204</v>
      </c>
      <c r="D47" s="279">
        <v>137.6</v>
      </c>
      <c r="E47" s="280">
        <v>140</v>
      </c>
      <c r="F47" s="280">
        <v>138.69999999999999</v>
      </c>
      <c r="G47" s="280">
        <f>F47-F47*0.073</f>
        <v>128.57489999999999</v>
      </c>
      <c r="H47" s="280">
        <f t="shared" si="13"/>
        <v>119.18893229999999</v>
      </c>
      <c r="I47" s="280">
        <f t="shared" si="13"/>
        <v>110.48814024209999</v>
      </c>
      <c r="J47" s="280">
        <f t="shared" si="13"/>
        <v>102.42250600442669</v>
      </c>
      <c r="K47" s="280">
        <f t="shared" si="13"/>
        <v>94.945663066103549</v>
      </c>
      <c r="L47" s="280">
        <f t="shared" si="13"/>
        <v>88.014629662277997</v>
      </c>
      <c r="M47" s="280">
        <f t="shared" si="13"/>
        <v>81.58956169693171</v>
      </c>
      <c r="N47" s="236"/>
      <c r="O47" s="236"/>
      <c r="P47"/>
      <c r="Q47"/>
      <c r="R47" s="236"/>
      <c r="S47" s="236"/>
      <c r="T47" s="236"/>
      <c r="U47" s="236"/>
      <c r="V47" s="236"/>
      <c r="W47" s="236"/>
      <c r="X47" s="236"/>
      <c r="Y47" s="271"/>
    </row>
    <row r="48" spans="1:25" s="1" customFormat="1" x14ac:dyDescent="0.35">
      <c r="A48" s="258"/>
      <c r="B48" s="338"/>
      <c r="C48" s="224" t="s">
        <v>184</v>
      </c>
      <c r="D48" s="281">
        <f t="shared" ref="D48:M48" si="14">PRODUCT(D46:D47)</f>
        <v>43.068799999999996</v>
      </c>
      <c r="E48" s="281">
        <f t="shared" si="14"/>
        <v>39.04900710511933</v>
      </c>
      <c r="F48" s="281">
        <f t="shared" si="14"/>
        <v>38.686409182000368</v>
      </c>
      <c r="G48" s="270">
        <f t="shared" si="14"/>
        <v>12.857489999999999</v>
      </c>
      <c r="H48" s="270">
        <f t="shared" si="14"/>
        <v>11.048814024209999</v>
      </c>
      <c r="I48" s="270">
        <f t="shared" si="14"/>
        <v>9.4945663066103556</v>
      </c>
      <c r="J48" s="270">
        <f t="shared" si="14"/>
        <v>8.1589561696931696</v>
      </c>
      <c r="K48" s="270">
        <f t="shared" si="14"/>
        <v>7.0112276463462626</v>
      </c>
      <c r="L48" s="270">
        <f t="shared" si="14"/>
        <v>6.024951242107087</v>
      </c>
      <c r="M48" s="270">
        <f t="shared" si="14"/>
        <v>5.1774153259286422</v>
      </c>
      <c r="N48" s="236"/>
      <c r="O48" s="236"/>
      <c r="P48"/>
      <c r="Q48"/>
      <c r="R48" s="236"/>
      <c r="S48" s="236"/>
      <c r="T48" s="236"/>
      <c r="U48" s="236"/>
      <c r="V48" s="236"/>
      <c r="W48" s="236"/>
      <c r="X48" s="236"/>
      <c r="Y48" s="271"/>
    </row>
    <row r="49" spans="1:25" s="1" customFormat="1" x14ac:dyDescent="0.35">
      <c r="A49" s="258"/>
      <c r="B49" s="338"/>
      <c r="C49" s="224" t="s">
        <v>173</v>
      </c>
      <c r="D49" s="263">
        <f t="shared" ref="D49:M49" si="15">P46</f>
        <v>-47.375680000000003</v>
      </c>
      <c r="E49" s="263">
        <f t="shared" si="15"/>
        <v>-60.184442631631271</v>
      </c>
      <c r="F49" s="263">
        <f t="shared" si="15"/>
        <v>15.0361281232545</v>
      </c>
      <c r="G49" s="263">
        <f t="shared" si="15"/>
        <v>122.89383193269157</v>
      </c>
      <c r="H49" s="263">
        <f t="shared" si="15"/>
        <v>204.08493953540531</v>
      </c>
      <c r="I49" s="263">
        <f t="shared" si="15"/>
        <v>210.63975867734388</v>
      </c>
      <c r="J49" s="263">
        <f t="shared" si="15"/>
        <v>190.88387417214273</v>
      </c>
      <c r="K49" s="263">
        <f t="shared" si="15"/>
        <v>170.29520362464899</v>
      </c>
      <c r="L49" s="263">
        <f t="shared" si="15"/>
        <v>173.46077380058324</v>
      </c>
      <c r="M49" s="263">
        <f t="shared" si="15"/>
        <v>137.05868036612162</v>
      </c>
      <c r="N49" s="236"/>
      <c r="O49" s="236"/>
      <c r="P49"/>
      <c r="Q49"/>
      <c r="R49" s="236"/>
      <c r="S49" s="236"/>
      <c r="T49" s="236"/>
      <c r="U49" s="236"/>
      <c r="V49" s="236"/>
      <c r="W49" s="236"/>
      <c r="X49" s="236"/>
      <c r="Y49" s="271"/>
    </row>
    <row r="50" spans="1:25" s="1" customFormat="1" x14ac:dyDescent="0.35">
      <c r="A50" s="258"/>
      <c r="B50" s="338"/>
      <c r="C50" s="214" t="s">
        <v>185</v>
      </c>
      <c r="D50" s="282">
        <f>(D49/'Model input'!$C$45)+(D48*'Model input'!$C$46)</f>
        <v>-0.51682560000000011</v>
      </c>
      <c r="E50" s="282">
        <f>(E49/'Model input'!$C$45)+(E48*'Model input'!$C$46)</f>
        <v>-0.81319878158143211</v>
      </c>
      <c r="F50" s="282">
        <f>(F49/'Model input'!$C$45)+(F48*'Model input'!$C$46)</f>
        <v>0.68758665428509369</v>
      </c>
      <c r="G50" s="282">
        <f>(G49/'Model input'!$C$45)+(G48*'Model input'!$C$46)</f>
        <v>2.5864515386538312</v>
      </c>
      <c r="H50" s="282">
        <f>(H49/'Model input'!$C$45)+(H48*'Model input'!$C$46)</f>
        <v>4.1921869309502062</v>
      </c>
      <c r="I50" s="282">
        <f>(I49/'Model input'!$C$45)+(I48*'Model input'!$C$46)</f>
        <v>4.3077408366129806</v>
      </c>
      <c r="J50" s="282">
        <f>(J49/'Model input'!$C$45)+(J48*'Model input'!$C$46)</f>
        <v>3.8992670451397862</v>
      </c>
      <c r="K50" s="282">
        <f>(K49/'Model input'!$C$45)+(K48*'Model input'!$C$46)</f>
        <v>3.4760163489564424</v>
      </c>
      <c r="L50" s="282">
        <f>(L49/'Model input'!$C$45)+(L48*'Model input'!$C$46)</f>
        <v>3.5294649884327356</v>
      </c>
      <c r="M50" s="282">
        <f>(M49/'Model input'!$C$45)+(M48*'Model input'!$C$46)</f>
        <v>2.7929477605817188</v>
      </c>
      <c r="N50" s="236"/>
      <c r="O50" s="236"/>
      <c r="P50"/>
      <c r="Q50"/>
      <c r="R50" s="236"/>
      <c r="S50" s="236"/>
      <c r="T50" s="236"/>
      <c r="U50" s="236"/>
      <c r="V50" s="236"/>
      <c r="W50" s="236"/>
      <c r="X50" s="236"/>
      <c r="Y50" s="271"/>
    </row>
    <row r="51" spans="1:25" s="1" customFormat="1" x14ac:dyDescent="0.35">
      <c r="A51" s="258"/>
      <c r="B51" s="338"/>
      <c r="C51" s="224" t="s">
        <v>205</v>
      </c>
      <c r="D51" s="266">
        <f>D50*'Model input'!F52</f>
        <v>-49.840051542024561</v>
      </c>
      <c r="E51" s="266">
        <f>E50*'Model input'!G52</f>
        <v>-70.456008296881095</v>
      </c>
      <c r="F51" s="266">
        <f>F50*'Model input'!H52</f>
        <v>59.572901627969458</v>
      </c>
      <c r="G51" s="266">
        <f>G50*'Model input'!I52</f>
        <v>224.09164302052875</v>
      </c>
      <c r="H51" s="266">
        <f>H50*'Model input'!J52</f>
        <v>363.21347729359206</v>
      </c>
      <c r="I51" s="266">
        <f>I50*'Model input'!K52</f>
        <v>373.22513387807527</v>
      </c>
      <c r="J51" s="266">
        <f>J50*'Model input'!L52</f>
        <v>337.83473058070888</v>
      </c>
      <c r="K51" s="266">
        <f>K50*'Model input'!M52</f>
        <v>301.16404779394645</v>
      </c>
      <c r="L51" s="266">
        <f>L50*'Model input'!N52</f>
        <v>305.79486853752331</v>
      </c>
      <c r="M51" s="266">
        <f>M50*'Model input'!O52</f>
        <v>241.98259398473522</v>
      </c>
      <c r="N51" s="236"/>
      <c r="O51" s="236"/>
      <c r="P51"/>
      <c r="Q51"/>
      <c r="R51" s="236"/>
      <c r="S51" s="236"/>
      <c r="T51" s="236"/>
      <c r="U51" s="236"/>
      <c r="V51" s="236"/>
      <c r="W51" s="236"/>
      <c r="X51" s="236"/>
      <c r="Y51" s="271"/>
    </row>
    <row r="52" spans="1:25" s="1" customFormat="1" x14ac:dyDescent="0.35">
      <c r="A52" s="258"/>
      <c r="B52" s="338"/>
      <c r="C52" s="267" t="s">
        <v>201</v>
      </c>
      <c r="D52" s="272">
        <f>D49*'Model input'!E64-D51</f>
        <v>-1061.1094158752817</v>
      </c>
      <c r="E52" s="272">
        <f>E49*'Model input'!F64-E51</f>
        <v>-2375.9107193646478</v>
      </c>
      <c r="F52" s="272">
        <f>F49*'Model input'!G64-F51</f>
        <v>1230.7214302185298</v>
      </c>
      <c r="G52" s="272">
        <f>G49*'Model input'!H64-G51</f>
        <v>5836.6117609758767</v>
      </c>
      <c r="H52" s="272">
        <f>H49*'Model input'!I64-H51</f>
        <v>9701.5576206088281</v>
      </c>
      <c r="I52" s="272">
        <f>I49*'Model input'!J64-I51</f>
        <v>10014.807221821939</v>
      </c>
      <c r="J52" s="272">
        <f>J49*'Model input'!K64-J51</f>
        <v>9075.9049809188164</v>
      </c>
      <c r="K52" s="272">
        <f>K49*'Model input'!L64-K51</f>
        <v>8097.2128606374945</v>
      </c>
      <c r="L52" s="272">
        <f>L49*'Model input'!M64-L51</f>
        <v>8248.6971324022379</v>
      </c>
      <c r="M52" s="272">
        <f>M49*'Model input'!N64-M51</f>
        <v>6517.2826805911627</v>
      </c>
      <c r="N52" s="236"/>
      <c r="O52" s="236"/>
      <c r="P52"/>
      <c r="Q52"/>
      <c r="R52" s="236"/>
      <c r="S52" s="236"/>
      <c r="T52" s="236"/>
      <c r="U52" s="236"/>
      <c r="V52" s="236"/>
      <c r="W52" s="236"/>
      <c r="X52" s="236"/>
      <c r="Y52" s="271"/>
    </row>
    <row r="53" spans="1:25" s="1" customFormat="1" x14ac:dyDescent="0.35">
      <c r="A53" s="258"/>
      <c r="B53" s="338"/>
      <c r="C53" s="267" t="s">
        <v>202</v>
      </c>
      <c r="D53" s="272">
        <f>D52/(1+'Model input'!$C$11)^(D$36-2022)</f>
        <v>-964.64492352298328</v>
      </c>
      <c r="E53" s="272">
        <f>E52/(1+'Model input'!$C$11)^(E$36-2022)</f>
        <v>-1963.5625779873119</v>
      </c>
      <c r="F53" s="272">
        <f>F52/(1+'Model input'!$C$11)^(F$36-2022)</f>
        <v>924.65922630993941</v>
      </c>
      <c r="G53" s="272">
        <f>G52/(1+'Model input'!$C$11)^(G$36-2022)</f>
        <v>3986.4843664885425</v>
      </c>
      <c r="H53" s="272">
        <f>H52/(1+'Model input'!$C$11)^(H$36-2022)</f>
        <v>6023.9039935230612</v>
      </c>
      <c r="I53" s="272">
        <f>I52/(1+'Model input'!$C$11)^(I$36-2022)</f>
        <v>5653.0975912327795</v>
      </c>
      <c r="J53" s="272">
        <f>J52/(1+'Model input'!$C$11)^(J$36-2022)</f>
        <v>4657.3743212489953</v>
      </c>
      <c r="K53" s="272">
        <f>K52/(1+'Model input'!$C$11)^(K$36-2022)</f>
        <v>3777.4095586165568</v>
      </c>
      <c r="L53" s="272">
        <f>L52/(1+'Model input'!$C$11)^(L$36-2022)</f>
        <v>3498.2528085277327</v>
      </c>
      <c r="M53" s="272">
        <f>M52/(1+'Model input'!$C$11)^(M$36-2022)</f>
        <v>2512.6946028172315</v>
      </c>
      <c r="N53" s="236"/>
      <c r="O53" s="236"/>
      <c r="P53"/>
      <c r="Q53"/>
      <c r="R53" s="236"/>
      <c r="S53" s="236"/>
      <c r="T53" s="236"/>
      <c r="U53" s="236"/>
      <c r="V53" s="236"/>
      <c r="W53" s="236"/>
      <c r="X53" s="236"/>
      <c r="Y53" s="271"/>
    </row>
    <row r="54" spans="1:25" s="1" customFormat="1" x14ac:dyDescent="0.35">
      <c r="A54" s="258"/>
      <c r="B54" s="338"/>
      <c r="C54" s="267" t="s">
        <v>179</v>
      </c>
      <c r="D54" s="272">
        <f>D53/('Model input'!$E$79/'Model input'!$D$79)</f>
        <v>-723.39561587644505</v>
      </c>
      <c r="E54" s="272">
        <f>E53/('Model input'!$E$79/'Model input'!$D$79)</f>
        <v>-1472.4926506921374</v>
      </c>
      <c r="F54" s="272">
        <f>F53/('Model input'!$E$79/'Model input'!$D$79)</f>
        <v>693.40999385498662</v>
      </c>
      <c r="G54" s="272">
        <f>G53/('Model input'!$E$79/'Model input'!$D$79)</f>
        <v>2989.4992894855482</v>
      </c>
      <c r="H54" s="272">
        <f>H53/('Model input'!$E$79/'Model input'!$D$79)</f>
        <v>4517.3779834558654</v>
      </c>
      <c r="I54" s="272">
        <f>I53/('Model input'!$E$79/'Model input'!$D$79)</f>
        <v>4239.3070381633033</v>
      </c>
      <c r="J54" s="272">
        <f>J53/('Model input'!$E$79/'Model input'!$D$79)</f>
        <v>3492.6055000452047</v>
      </c>
      <c r="K54" s="272">
        <f>K53/('Model input'!$E$79/'Model input'!$D$79)</f>
        <v>2832.7122731267759</v>
      </c>
      <c r="L54" s="272">
        <f>L53/('Model input'!$E$79/'Model input'!$D$79)</f>
        <v>2623.3701989270139</v>
      </c>
      <c r="M54" s="272">
        <f>M53/('Model input'!$E$79/'Model input'!$D$79)</f>
        <v>1884.2915308941483</v>
      </c>
      <c r="N54" s="236"/>
      <c r="O54" s="236"/>
      <c r="P54"/>
      <c r="Q54"/>
      <c r="R54" s="236"/>
      <c r="S54" s="236"/>
      <c r="T54" s="236"/>
      <c r="U54" s="236"/>
      <c r="V54" s="236"/>
      <c r="W54" s="236"/>
      <c r="X54" s="236"/>
      <c r="Y54" s="271"/>
    </row>
    <row r="55" spans="1:25" s="1" customFormat="1" x14ac:dyDescent="0.35">
      <c r="A55" s="258"/>
      <c r="B55" s="338"/>
      <c r="C55" s="267" t="s">
        <v>180</v>
      </c>
      <c r="D55" s="155">
        <f>D54*'Model input'!$D$85</f>
        <v>-14.033874948003035</v>
      </c>
      <c r="E55" s="155">
        <f>E54*'Model input'!$D$85</f>
        <v>-28.566357423427466</v>
      </c>
      <c r="F55" s="155">
        <f>F54*'Model input'!$D$85</f>
        <v>13.45215388078674</v>
      </c>
      <c r="G55" s="155">
        <f>G54*'Model input'!$D$85</f>
        <v>57.996286216019634</v>
      </c>
      <c r="H55" s="155">
        <f>H54*'Model input'!$D$85</f>
        <v>87.63713287904379</v>
      </c>
      <c r="I55" s="155">
        <f>I54*'Model input'!$D$85</f>
        <v>82.242556540368085</v>
      </c>
      <c r="J55" s="155">
        <f>J54*'Model input'!$D$85</f>
        <v>67.756546700876967</v>
      </c>
      <c r="K55" s="155">
        <f>K54*'Model input'!$D$85</f>
        <v>54.954618098659452</v>
      </c>
      <c r="L55" s="155">
        <f>L54*'Model input'!$D$85</f>
        <v>50.893381859184075</v>
      </c>
      <c r="M55" s="155">
        <f>M54*'Model input'!$D$85</f>
        <v>36.555255699346475</v>
      </c>
      <c r="N55" s="236"/>
      <c r="O55" s="236"/>
      <c r="P55"/>
      <c r="Q55"/>
      <c r="R55" s="236"/>
      <c r="S55" s="236"/>
      <c r="T55" s="236"/>
      <c r="U55" s="236"/>
      <c r="V55" s="236"/>
      <c r="W55" s="236"/>
      <c r="X55" s="236"/>
      <c r="Y55" s="271"/>
    </row>
    <row r="56" spans="1:25" s="1" customFormat="1" x14ac:dyDescent="0.35">
      <c r="A56" s="258"/>
      <c r="B56" s="338" t="s">
        <v>62</v>
      </c>
      <c r="C56" s="283" t="s">
        <v>206</v>
      </c>
      <c r="D56" s="268" t="s">
        <v>189</v>
      </c>
      <c r="E56" s="284">
        <f>E22*('Model input'!G79/'Model input'!F79)</f>
        <v>356.59945243627186</v>
      </c>
      <c r="F56" s="264"/>
      <c r="G56" s="264"/>
      <c r="H56" s="264"/>
      <c r="I56" s="264"/>
      <c r="J56" s="264"/>
      <c r="K56" s="264"/>
      <c r="L56" s="264"/>
      <c r="M56" s="264"/>
      <c r="N56" s="236"/>
      <c r="O56" s="236"/>
      <c r="P56"/>
      <c r="Q56"/>
      <c r="R56" s="236"/>
      <c r="S56" s="236"/>
      <c r="T56" s="236"/>
      <c r="U56" s="236"/>
      <c r="V56" s="236"/>
      <c r="W56" s="236"/>
      <c r="X56" s="236"/>
      <c r="Y56" s="271"/>
    </row>
    <row r="57" spans="1:25" s="1" customFormat="1" x14ac:dyDescent="0.35">
      <c r="A57" s="258"/>
      <c r="B57" s="338"/>
      <c r="C57" s="267" t="s">
        <v>207</v>
      </c>
      <c r="D57" s="285" t="s">
        <v>189</v>
      </c>
      <c r="E57" s="266">
        <f>E56/('Model input'!G$79/'Model input'!$D$79)</f>
        <v>162.23762387178942</v>
      </c>
      <c r="F57" s="266">
        <f t="shared" ref="F57:M57" si="16">E57</f>
        <v>162.23762387178942</v>
      </c>
      <c r="G57" s="266">
        <f t="shared" si="16"/>
        <v>162.23762387178942</v>
      </c>
      <c r="H57" s="266">
        <f t="shared" si="16"/>
        <v>162.23762387178942</v>
      </c>
      <c r="I57" s="266">
        <f t="shared" si="16"/>
        <v>162.23762387178942</v>
      </c>
      <c r="J57" s="266">
        <f t="shared" si="16"/>
        <v>162.23762387178942</v>
      </c>
      <c r="K57" s="266">
        <f t="shared" si="16"/>
        <v>162.23762387178942</v>
      </c>
      <c r="L57" s="266">
        <f t="shared" si="16"/>
        <v>162.23762387178942</v>
      </c>
      <c r="M57" s="266">
        <f t="shared" si="16"/>
        <v>162.23762387178942</v>
      </c>
      <c r="N57" s="236"/>
      <c r="O57" s="236"/>
      <c r="P57"/>
      <c r="Q57"/>
      <c r="R57" s="236"/>
      <c r="S57" s="236"/>
      <c r="T57" s="236"/>
      <c r="U57" s="236"/>
      <c r="V57" s="236"/>
      <c r="W57" s="236"/>
      <c r="X57" s="236"/>
      <c r="Y57" s="271"/>
    </row>
    <row r="58" spans="1:25" s="1" customFormat="1" x14ac:dyDescent="0.35">
      <c r="A58" s="258"/>
      <c r="B58" s="338"/>
      <c r="C58" s="267" t="s">
        <v>208</v>
      </c>
      <c r="D58" s="285" t="s">
        <v>189</v>
      </c>
      <c r="E58" s="266">
        <f>E57/(1+'Model input'!$C$11)^(E$36-2022)</f>
        <v>134.08068088577636</v>
      </c>
      <c r="F58" s="266">
        <f>F57/(1+'Model input'!$C$11)^(F$36-2022)</f>
        <v>121.89152807797849</v>
      </c>
      <c r="G58" s="266">
        <f>G57/(1+'Model input'!$C$11)^(G$36-2022)</f>
        <v>110.81048007088954</v>
      </c>
      <c r="H58" s="266">
        <f>H57/(1+'Model input'!$C$11)^(H$36-2022)</f>
        <v>100.73680006444503</v>
      </c>
      <c r="I58" s="266">
        <f>I57/(1+'Model input'!$C$11)^(I$36-2022)</f>
        <v>91.578909149495473</v>
      </c>
      <c r="J58" s="266">
        <f>J57/(1+'Model input'!$C$11)^(J$36-2022)</f>
        <v>83.253553772268603</v>
      </c>
      <c r="K58" s="266">
        <f>K57/(1+'Model input'!$C$11)^(K$36-2022)</f>
        <v>75.685048883880555</v>
      </c>
      <c r="L58" s="266">
        <f>L57/(1+'Model input'!$C$11)^(L$36-2022)</f>
        <v>68.804589894436859</v>
      </c>
      <c r="M58" s="266">
        <f>M57/(1+'Model input'!$C$11)^(M$36-2022)</f>
        <v>62.549627176760772</v>
      </c>
      <c r="N58" s="236"/>
      <c r="O58" s="236"/>
      <c r="P58"/>
      <c r="Q58"/>
      <c r="R58" s="236"/>
      <c r="S58" s="236"/>
      <c r="T58" s="236"/>
      <c r="U58" s="236"/>
      <c r="V58" s="236"/>
      <c r="W58" s="236"/>
      <c r="X58" s="236"/>
      <c r="Y58" s="271"/>
    </row>
    <row r="59" spans="1:25" s="1" customFormat="1" x14ac:dyDescent="0.35">
      <c r="A59" s="258"/>
      <c r="B59" s="338"/>
      <c r="C59" s="267" t="s">
        <v>209</v>
      </c>
      <c r="D59" s="285" t="s">
        <v>189</v>
      </c>
      <c r="E59" s="266">
        <f>E58/('Model input'!$E$79/'Model input'!$D$79)</f>
        <v>100.54826844707732</v>
      </c>
      <c r="F59" s="266">
        <f>F58/('Model input'!$E$79/'Model input'!$D$79)</f>
        <v>91.407516770070274</v>
      </c>
      <c r="G59" s="266">
        <f>G58/('Model input'!$E$79/'Model input'!$D$79)</f>
        <v>83.09774251824571</v>
      </c>
      <c r="H59" s="266">
        <f>H58/('Model input'!$E$79/'Model input'!$D$79)</f>
        <v>75.543402289314272</v>
      </c>
      <c r="I59" s="266">
        <f>I58/('Model input'!$E$79/'Model input'!$D$79)</f>
        <v>68.675820263012966</v>
      </c>
      <c r="J59" s="266">
        <f>J58/('Model input'!$E$79/'Model input'!$D$79)</f>
        <v>62.432563875466329</v>
      </c>
      <c r="K59" s="266">
        <f>K58/('Model input'!$E$79/'Model input'!$D$79)</f>
        <v>56.756876250423943</v>
      </c>
      <c r="L59" s="266">
        <f>L58/('Model input'!$E$79/'Model input'!$D$79)</f>
        <v>51.597160227658122</v>
      </c>
      <c r="M59" s="266">
        <f>M58/('Model input'!$E$79/'Model input'!$D$79)</f>
        <v>46.906509297871011</v>
      </c>
      <c r="N59" s="236"/>
      <c r="O59" s="236"/>
      <c r="P59"/>
      <c r="Q59"/>
      <c r="R59" s="236"/>
      <c r="S59" s="236"/>
      <c r="T59" s="236"/>
      <c r="U59" s="236"/>
      <c r="V59" s="236"/>
      <c r="W59" s="236"/>
      <c r="X59" s="236"/>
      <c r="Y59" s="271"/>
    </row>
    <row r="60" spans="1:25" s="1" customFormat="1" x14ac:dyDescent="0.35">
      <c r="A60" s="258"/>
      <c r="B60" s="338"/>
      <c r="C60" s="267" t="s">
        <v>180</v>
      </c>
      <c r="D60" s="156" t="s">
        <v>189</v>
      </c>
      <c r="E60" s="155">
        <f>E59*'Model input'!$D$85</f>
        <v>1.9506364078733001</v>
      </c>
      <c r="F60" s="155">
        <f>F59*'Model input'!$D$85</f>
        <v>1.7733058253393634</v>
      </c>
      <c r="G60" s="155">
        <f>G59*'Model input'!$D$85</f>
        <v>1.6120962048539669</v>
      </c>
      <c r="H60" s="155">
        <f>H59*'Model input'!$D$85</f>
        <v>1.465542004412697</v>
      </c>
      <c r="I60" s="155">
        <f>I59*'Model input'!$D$85</f>
        <v>1.3323109131024515</v>
      </c>
      <c r="J60" s="155">
        <f>J59*'Model input'!$D$85</f>
        <v>1.2111917391840468</v>
      </c>
      <c r="K60" s="155">
        <f>K59*'Model input'!$D$85</f>
        <v>1.1010833992582245</v>
      </c>
      <c r="L60" s="155">
        <f>L59*'Model input'!$D$85</f>
        <v>1.0009849084165676</v>
      </c>
      <c r="M60" s="155">
        <f>M59*'Model input'!$D$85</f>
        <v>0.90998628037869767</v>
      </c>
      <c r="N60" s="236"/>
      <c r="O60" s="236"/>
      <c r="P60"/>
      <c r="Q60"/>
      <c r="R60" s="236"/>
      <c r="S60" s="236"/>
      <c r="T60" s="236"/>
      <c r="U60" s="236"/>
      <c r="V60" s="236"/>
      <c r="W60" s="236"/>
      <c r="X60" s="236"/>
      <c r="Y60" s="271"/>
    </row>
    <row r="61" spans="1:25" s="1" customFormat="1" x14ac:dyDescent="0.35">
      <c r="A61" s="258"/>
      <c r="B61" s="338" t="s">
        <v>192</v>
      </c>
      <c r="C61" s="224" t="s">
        <v>193</v>
      </c>
      <c r="D61" s="276">
        <v>0.15</v>
      </c>
      <c r="E61" s="276">
        <v>0.15</v>
      </c>
      <c r="F61" s="276">
        <v>0.15</v>
      </c>
      <c r="G61" s="276">
        <v>0.15</v>
      </c>
      <c r="H61" s="276">
        <v>0.15</v>
      </c>
      <c r="I61" s="276">
        <v>0.15</v>
      </c>
      <c r="J61" s="276">
        <v>0.15</v>
      </c>
      <c r="K61" s="276">
        <v>0.15</v>
      </c>
      <c r="L61" s="276">
        <v>0.15</v>
      </c>
      <c r="M61" s="276">
        <v>0.15</v>
      </c>
      <c r="N61" s="236"/>
      <c r="O61" s="236"/>
      <c r="P61"/>
      <c r="Q61"/>
      <c r="R61" s="236"/>
      <c r="S61" s="236"/>
      <c r="T61" s="236"/>
      <c r="U61" s="236"/>
      <c r="V61" s="236"/>
      <c r="W61" s="236"/>
      <c r="X61" s="236"/>
      <c r="Y61" s="271"/>
    </row>
    <row r="62" spans="1:25" s="1" customFormat="1" x14ac:dyDescent="0.35">
      <c r="A62" s="258"/>
      <c r="B62" s="338"/>
      <c r="C62" s="286" t="s">
        <v>194</v>
      </c>
      <c r="D62" s="276">
        <v>0.14000000000000001</v>
      </c>
      <c r="E62" s="276">
        <v>0.14000000000000001</v>
      </c>
      <c r="F62" s="276">
        <v>0.14000000000000001</v>
      </c>
      <c r="G62" s="276">
        <v>0.14000000000000001</v>
      </c>
      <c r="H62" s="276">
        <v>0.14000000000000001</v>
      </c>
      <c r="I62" s="276">
        <v>0.14000000000000001</v>
      </c>
      <c r="J62" s="276">
        <v>0.14000000000000001</v>
      </c>
      <c r="K62" s="276">
        <v>0.14000000000000001</v>
      </c>
      <c r="L62" s="276">
        <v>0.14000000000000001</v>
      </c>
      <c r="M62" s="276">
        <v>0.14000000000000001</v>
      </c>
      <c r="N62" s="236"/>
      <c r="O62" s="236"/>
      <c r="P62"/>
      <c r="Q62"/>
      <c r="R62" s="236"/>
      <c r="S62" s="236"/>
      <c r="T62" s="236"/>
      <c r="U62" s="236"/>
      <c r="V62" s="236"/>
      <c r="W62" s="236"/>
      <c r="X62" s="236"/>
      <c r="Y62" s="271"/>
    </row>
    <row r="63" spans="1:25" s="1" customFormat="1" x14ac:dyDescent="0.35">
      <c r="A63" s="258"/>
      <c r="B63" s="338"/>
      <c r="C63" s="267" t="s">
        <v>207</v>
      </c>
      <c r="D63" s="266">
        <f>(D61*D62*'Model input'!$C$29*'Model input'!$C$28*'Model input'!E64)+(D61*D62*D49*'Model input'!E64)+(D61*D62*D38*'Model input'!E64)</f>
        <v>209.68951379225535</v>
      </c>
      <c r="E63" s="266">
        <f>(E61*E62*'Model input'!$C$29*'Model input'!$C$28*'Model input'!F64)+(E61*E62*E49*'Model input'!F64)+(E61*E62*E38*'Model input'!F64)</f>
        <v>352.54191820155614</v>
      </c>
      <c r="F63" s="266">
        <f>(F61*F62*'Model input'!$C$29*'Model input'!$C$28*'Model input'!G64)+(F61*F62*F49*'Model input'!G64)+(F61*F62*F38*'Model input'!G64)</f>
        <v>879.81549726173739</v>
      </c>
      <c r="G63" s="266">
        <f>(G61*G62*'Model input'!$C$29*'Model input'!$C$28*'Model input'!H64)+(G61*G62*G49*'Model input'!H64)+(G61*G62*G38*'Model input'!H64)</f>
        <v>615.57831511481527</v>
      </c>
      <c r="H63" s="266">
        <f>(H61*H62*'Model input'!$C$29*'Model input'!$C$28*'Model input'!I64)+(H61*H62*H49*'Model input'!I64)+(H61*H62*H38*'Model input'!I64)</f>
        <v>698.03862020947702</v>
      </c>
      <c r="I63" s="266">
        <f>(I61*I62*'Model input'!$C$29*'Model input'!$C$28*'Model input'!J64)+(I61*I62*I49*'Model input'!J64)+(I61*I62*I38*'Model input'!J64)</f>
        <v>703.32062364870956</v>
      </c>
      <c r="J63" s="266">
        <f>(J61*J62*'Model input'!$C$29*'Model input'!$C$28*'Model input'!K64)+(J61*J62*J49*'Model input'!K64)+(J61*J62*J38*'Model input'!K64)</f>
        <v>681.46396840312207</v>
      </c>
      <c r="K63" s="266">
        <f>(K61*K62*'Model input'!$C$29*'Model input'!$C$28*'Model input'!L64)+(K61*K62*K49*'Model input'!L64)+(K61*K62*K38*'Model input'!L64)</f>
        <v>658.84678503068369</v>
      </c>
      <c r="L63" s="266">
        <f>(L61*L62*'Model input'!$C$29*'Model input'!$C$28*'Model input'!M64)+(L61*L62*L49*'Model input'!M64)+(L61*L62*L38*'Model input'!M64)</f>
        <v>660.92514067443437</v>
      </c>
      <c r="M63" s="266">
        <f>(M61*M62*'Model input'!$C$29*'Model input'!$C$28*'Model input'!N64)+(M61*M62*M49*'Model input'!N64)+(M61*M62*M38*'Model input'!N64)</f>
        <v>622.11292259669074</v>
      </c>
      <c r="N63" s="236"/>
      <c r="O63" s="236"/>
      <c r="P63"/>
      <c r="Q63"/>
      <c r="R63" s="236"/>
      <c r="S63" s="236"/>
      <c r="T63" s="236"/>
      <c r="U63" s="236"/>
      <c r="V63" s="236"/>
      <c r="W63" s="236"/>
      <c r="X63" s="236"/>
      <c r="Y63" s="271"/>
    </row>
    <row r="64" spans="1:25" s="1" customFormat="1" x14ac:dyDescent="0.35">
      <c r="A64" s="258"/>
      <c r="B64" s="338"/>
      <c r="C64" s="267" t="s">
        <v>208</v>
      </c>
      <c r="D64" s="266">
        <f>D63/(1+'Model input'!$C$11)^(D$36-2022)</f>
        <v>190.62683072023214</v>
      </c>
      <c r="E64" s="266">
        <f>E63/(1+'Model input'!$C$11)^(E$36-2022)</f>
        <v>291.35695719136868</v>
      </c>
      <c r="F64" s="266">
        <f>F63/(1+'Model input'!$C$11)^(F$36-2022)</f>
        <v>661.01840515532467</v>
      </c>
      <c r="G64" s="266">
        <f>G63/(1+'Model input'!$C$11)^(G$36-2022)</f>
        <v>420.44827205437821</v>
      </c>
      <c r="H64" s="266">
        <f>H63/(1+'Model input'!$C$11)^(H$36-2022)</f>
        <v>433.42706360685543</v>
      </c>
      <c r="I64" s="266">
        <f>I63/(1+'Model input'!$C$11)^(I$36-2022)</f>
        <v>397.00615651886062</v>
      </c>
      <c r="J64" s="266">
        <f>J63/(1+'Model input'!$C$11)^(J$36-2022)</f>
        <v>349.69876766777571</v>
      </c>
      <c r="K64" s="266">
        <f>K63/(1+'Model input'!$C$11)^(K$36-2022)</f>
        <v>307.35688764426948</v>
      </c>
      <c r="L64" s="266">
        <f>L63/(1+'Model input'!$C$11)^(L$36-2022)</f>
        <v>280.296778082527</v>
      </c>
      <c r="M64" s="266">
        <f>M63/(1+'Model input'!$C$11)^(M$36-2022)</f>
        <v>239.85146257454764</v>
      </c>
      <c r="N64" s="236"/>
      <c r="O64" s="236"/>
      <c r="P64"/>
      <c r="Q64"/>
      <c r="R64" s="236"/>
      <c r="S64" s="236"/>
      <c r="T64" s="236"/>
      <c r="U64" s="236"/>
      <c r="V64" s="236"/>
      <c r="W64" s="236"/>
      <c r="X64" s="236"/>
      <c r="Y64" s="271"/>
    </row>
    <row r="65" spans="1:25" s="1" customFormat="1" x14ac:dyDescent="0.35">
      <c r="A65" s="258"/>
      <c r="B65" s="338"/>
      <c r="C65" s="267" t="s">
        <v>179</v>
      </c>
      <c r="D65" s="266">
        <f>D64/('Model input'!$E$79/'Model input'!$D$79)</f>
        <v>142.95271788485357</v>
      </c>
      <c r="E65" s="266">
        <f>E64/('Model input'!$E$79/'Model input'!$D$79)</f>
        <v>218.49111558851794</v>
      </c>
      <c r="F65" s="266">
        <f>F64/('Model input'!$E$79/'Model input'!$D$79)</f>
        <v>495.70344967622555</v>
      </c>
      <c r="G65" s="266">
        <f>G64/('Model input'!$E$79/'Model input'!$D$79)</f>
        <v>315.29781507186618</v>
      </c>
      <c r="H65" s="266">
        <f>H64/('Model input'!$E$79/'Model input'!$D$79)</f>
        <v>325.03072370953089</v>
      </c>
      <c r="I65" s="266">
        <f>I64/('Model input'!$E$79/'Model input'!$D$79)</f>
        <v>297.71836879921028</v>
      </c>
      <c r="J65" s="266">
        <f>J64/('Model input'!$E$79/'Model input'!$D$79)</f>
        <v>262.24214655522138</v>
      </c>
      <c r="K65" s="266">
        <f>K64/('Model input'!$E$79/'Model input'!$D$79)</f>
        <v>230.48960255684821</v>
      </c>
      <c r="L65" s="266">
        <f>L64/('Model input'!$E$79/'Model input'!$D$79)</f>
        <v>210.19699110494707</v>
      </c>
      <c r="M65" s="266">
        <f>M64/('Model input'!$E$79/'Model input'!$D$79)</f>
        <v>179.86669732766919</v>
      </c>
      <c r="N65" s="236"/>
      <c r="O65" s="236"/>
      <c r="P65"/>
      <c r="Q65"/>
      <c r="R65" s="236"/>
      <c r="S65" s="236"/>
      <c r="T65" s="236"/>
      <c r="U65" s="236"/>
      <c r="V65" s="236"/>
      <c r="W65" s="236"/>
      <c r="X65" s="236"/>
      <c r="Y65" s="271"/>
    </row>
    <row r="66" spans="1:25" s="1" customFormat="1" x14ac:dyDescent="0.35">
      <c r="A66" s="258"/>
      <c r="B66" s="338"/>
      <c r="C66" s="267" t="s">
        <v>180</v>
      </c>
      <c r="D66" s="155">
        <f>D65*'Model input'!$D$85</f>
        <v>2.7732827269661593</v>
      </c>
      <c r="E66" s="155">
        <f>E65*'Model input'!$D$85</f>
        <v>4.2387276424172482</v>
      </c>
      <c r="F66" s="155">
        <f>F65*'Model input'!$D$85</f>
        <v>9.6166469237187755</v>
      </c>
      <c r="G66" s="155">
        <f>G65*'Model input'!$D$85</f>
        <v>6.1167776123942037</v>
      </c>
      <c r="H66" s="155">
        <f>H65*'Model input'!$D$85</f>
        <v>6.3055960399648994</v>
      </c>
      <c r="I66" s="155">
        <f>I65*'Model input'!$D$85</f>
        <v>5.7757363547046801</v>
      </c>
      <c r="J66" s="155">
        <f>J65*'Model input'!$D$85</f>
        <v>5.0874976431712948</v>
      </c>
      <c r="K66" s="155">
        <f>K65*'Model input'!$D$85</f>
        <v>4.471498289602855</v>
      </c>
      <c r="L66" s="155">
        <f>L65*'Model input'!$D$85</f>
        <v>4.0778216274359735</v>
      </c>
      <c r="M66" s="155">
        <f>M65*'Model input'!$D$85</f>
        <v>3.4894139281567824</v>
      </c>
      <c r="N66" s="236"/>
      <c r="O66" s="236"/>
      <c r="P66"/>
      <c r="Q66"/>
      <c r="R66" s="236"/>
      <c r="S66" s="236"/>
      <c r="T66" s="236"/>
      <c r="U66" s="236"/>
      <c r="V66" s="236"/>
      <c r="W66" s="236"/>
      <c r="X66" s="236"/>
      <c r="Y66" s="271"/>
    </row>
    <row r="67" spans="1:25" s="1" customFormat="1" ht="15.5" x14ac:dyDescent="0.35">
      <c r="A67" s="258"/>
      <c r="B67" s="333" t="s">
        <v>207</v>
      </c>
      <c r="C67" s="334"/>
      <c r="D67" s="154">
        <f t="shared" ref="D67:M67" si="17">SUM(D42,D52,D57,D63)</f>
        <v>-352.38166428100561</v>
      </c>
      <c r="E67" s="154">
        <f t="shared" si="17"/>
        <v>-958.75659835090119</v>
      </c>
      <c r="F67" s="154">
        <f t="shared" si="17"/>
        <v>4222.4531150922803</v>
      </c>
      <c r="G67" s="154">
        <f t="shared" si="17"/>
        <v>7637.2689196107704</v>
      </c>
      <c r="H67" s="154">
        <f t="shared" si="17"/>
        <v>11510.007675304059</v>
      </c>
      <c r="I67" s="154">
        <f t="shared" si="17"/>
        <v>11759.322591781582</v>
      </c>
      <c r="J67" s="154">
        <f t="shared" si="17"/>
        <v>10734.399825694816</v>
      </c>
      <c r="K67" s="154">
        <f t="shared" si="17"/>
        <v>9673.6106146084767</v>
      </c>
      <c r="L67" s="154">
        <f t="shared" si="17"/>
        <v>9772.0353678269694</v>
      </c>
      <c r="M67" s="154">
        <f t="shared" si="17"/>
        <v>7950.6958885640179</v>
      </c>
      <c r="N67" s="236"/>
      <c r="O67" s="236"/>
      <c r="P67"/>
      <c r="Q67"/>
      <c r="R67" s="236"/>
      <c r="S67" s="236"/>
      <c r="T67" s="236"/>
      <c r="U67" s="236"/>
      <c r="V67" s="236"/>
      <c r="W67" s="236"/>
      <c r="X67" s="236"/>
      <c r="Y67" s="271"/>
    </row>
    <row r="68" spans="1:25" s="1" customFormat="1" ht="15.5" x14ac:dyDescent="0.35">
      <c r="A68" s="258"/>
      <c r="B68" s="337" t="s">
        <v>191</v>
      </c>
      <c r="C68" s="337"/>
      <c r="D68" s="154">
        <f t="shared" ref="D68:M68" si="18">SUM(D44,D54,D59,D65)</f>
        <v>-240.23097641241353</v>
      </c>
      <c r="E68" s="154">
        <f t="shared" si="18"/>
        <v>-594.19827242154145</v>
      </c>
      <c r="F68" s="154">
        <f t="shared" si="18"/>
        <v>2379.0039863604425</v>
      </c>
      <c r="G68" s="154">
        <f t="shared" si="18"/>
        <v>3911.7917969875443</v>
      </c>
      <c r="H68" s="154">
        <f t="shared" si="18"/>
        <v>5359.4543572440889</v>
      </c>
      <c r="I68" s="154">
        <f t="shared" si="18"/>
        <v>4977.7672124080291</v>
      </c>
      <c r="J68" s="154">
        <f t="shared" si="18"/>
        <v>4130.8303634433296</v>
      </c>
      <c r="K68" s="154">
        <f t="shared" si="18"/>
        <v>3384.1960172075151</v>
      </c>
      <c r="L68" s="154">
        <f t="shared" si="18"/>
        <v>3107.8443001764408</v>
      </c>
      <c r="M68" s="154">
        <f t="shared" si="18"/>
        <v>2298.7232044041371</v>
      </c>
      <c r="N68" s="236"/>
      <c r="O68" s="236"/>
      <c r="P68"/>
      <c r="Q68"/>
      <c r="R68" s="236"/>
      <c r="S68" s="236"/>
      <c r="T68" s="236"/>
      <c r="U68" s="236"/>
      <c r="V68" s="236"/>
      <c r="W68" s="236"/>
      <c r="X68" s="236"/>
      <c r="Y68" s="271"/>
    </row>
    <row r="69" spans="1:25" ht="15.5" x14ac:dyDescent="0.35">
      <c r="A69" s="66"/>
      <c r="B69" s="337" t="s">
        <v>195</v>
      </c>
      <c r="C69" s="337"/>
      <c r="D69" s="154">
        <f t="shared" ref="D69:M69" si="19">SUM(D45,D55,D60,D66)</f>
        <v>-4.6604809424008238</v>
      </c>
      <c r="E69" s="154">
        <f t="shared" si="19"/>
        <v>-11.527446484977901</v>
      </c>
      <c r="F69" s="154">
        <f t="shared" si="19"/>
        <v>46.152677335392582</v>
      </c>
      <c r="G69" s="154">
        <f t="shared" si="19"/>
        <v>75.888760861558353</v>
      </c>
      <c r="H69" s="154">
        <f t="shared" si="19"/>
        <v>103.97341453053532</v>
      </c>
      <c r="I69" s="154">
        <f t="shared" si="19"/>
        <v>96.56868392071577</v>
      </c>
      <c r="J69" s="154">
        <f t="shared" si="19"/>
        <v>80.13810905080058</v>
      </c>
      <c r="K69" s="154">
        <f t="shared" si="19"/>
        <v>65.653402733825786</v>
      </c>
      <c r="L69" s="154">
        <f t="shared" si="19"/>
        <v>60.292179423422965</v>
      </c>
      <c r="M69" s="154">
        <f t="shared" si="19"/>
        <v>44.59523016544027</v>
      </c>
      <c r="Y69" s="65"/>
    </row>
    <row r="70" spans="1:25" x14ac:dyDescent="0.35">
      <c r="A70" s="66"/>
      <c r="F70" s="74"/>
      <c r="Y70" s="65"/>
    </row>
    <row r="71" spans="1:25" x14ac:dyDescent="0.35">
      <c r="A71" s="66"/>
      <c r="D71" s="137"/>
      <c r="E71" s="137"/>
      <c r="F71" s="137"/>
      <c r="G71" s="137"/>
      <c r="H71" s="137"/>
      <c r="I71" s="137"/>
      <c r="J71" s="137"/>
      <c r="K71" s="137"/>
      <c r="L71" s="137"/>
      <c r="M71" s="137"/>
      <c r="N71" s="137"/>
      <c r="O71" s="137"/>
      <c r="Y71" s="65"/>
    </row>
    <row r="72" spans="1:25" ht="18" x14ac:dyDescent="0.4">
      <c r="A72" s="67"/>
      <c r="B72" s="163" t="s">
        <v>246</v>
      </c>
      <c r="C72" s="134"/>
      <c r="D72" s="138"/>
      <c r="E72" s="139"/>
      <c r="F72" s="140"/>
      <c r="G72" s="140"/>
      <c r="H72" s="140"/>
      <c r="I72" s="140"/>
      <c r="J72" s="140"/>
      <c r="K72" s="140"/>
      <c r="L72" s="140"/>
      <c r="M72" s="140"/>
      <c r="N72" s="140"/>
      <c r="O72" s="140"/>
      <c r="P72" s="12"/>
      <c r="Q72" s="12"/>
      <c r="R72" s="12"/>
      <c r="S72" s="12"/>
      <c r="T72" s="12"/>
      <c r="U72" s="12"/>
      <c r="V72" s="12"/>
      <c r="W72" s="12"/>
      <c r="X72" s="12"/>
      <c r="Y72" s="69"/>
    </row>
    <row r="73" spans="1:25" x14ac:dyDescent="0.35">
      <c r="A73" s="66"/>
      <c r="D73" s="137"/>
      <c r="E73" s="137"/>
      <c r="F73" s="137"/>
      <c r="G73" s="137"/>
      <c r="H73" s="137"/>
      <c r="I73" s="137"/>
      <c r="J73" s="137"/>
      <c r="K73" s="137"/>
      <c r="L73" s="137"/>
      <c r="M73" s="137"/>
      <c r="N73" s="137"/>
      <c r="O73" s="137"/>
      <c r="Y73" s="65"/>
    </row>
    <row r="74" spans="1:25" x14ac:dyDescent="0.35">
      <c r="A74" s="66"/>
      <c r="D74" s="137"/>
      <c r="E74" s="137"/>
      <c r="F74" s="137"/>
      <c r="G74" s="137"/>
      <c r="H74" s="137"/>
      <c r="I74" s="137"/>
      <c r="J74" s="137"/>
      <c r="K74" s="137"/>
      <c r="L74" s="137"/>
      <c r="M74" s="137"/>
      <c r="N74" s="137"/>
      <c r="O74" s="137"/>
      <c r="Y74" s="65"/>
    </row>
    <row r="75" spans="1:25" ht="15.5" x14ac:dyDescent="0.35">
      <c r="A75" s="66"/>
      <c r="B75" s="123" t="s">
        <v>101</v>
      </c>
      <c r="C75" s="127"/>
      <c r="D75" s="128">
        <v>2022</v>
      </c>
      <c r="E75" s="128">
        <v>2023</v>
      </c>
      <c r="F75" s="128">
        <v>2024</v>
      </c>
      <c r="G75" s="128">
        <v>2025</v>
      </c>
      <c r="H75" s="128">
        <v>2026</v>
      </c>
      <c r="I75" s="128">
        <v>2027</v>
      </c>
      <c r="J75" s="128">
        <v>2028</v>
      </c>
      <c r="K75" s="128">
        <v>2029</v>
      </c>
      <c r="L75" s="128">
        <v>2030</v>
      </c>
      <c r="M75" s="128">
        <v>2031</v>
      </c>
      <c r="N75" s="128">
        <v>2032</v>
      </c>
      <c r="P75" s="136"/>
      <c r="Q75" s="136"/>
      <c r="Y75" s="65"/>
    </row>
    <row r="76" spans="1:25" ht="20.149999999999999" customHeight="1" x14ac:dyDescent="0.35">
      <c r="A76" s="66"/>
      <c r="B76" s="224" t="s">
        <v>56</v>
      </c>
      <c r="C76" s="224" t="s">
        <v>210</v>
      </c>
      <c r="D76" s="78">
        <f>'Model input'!$C$71*D33</f>
        <v>-77313.906537235147</v>
      </c>
      <c r="E76" s="78">
        <f>'Model input'!$C$71*E33</f>
        <v>-73701.41923944313</v>
      </c>
      <c r="F76" s="78">
        <f>'Model input'!$C$71*F33</f>
        <v>111930.84160194575</v>
      </c>
      <c r="G76" s="78">
        <f>'Model input'!$C$71*G33</f>
        <v>1271513.86000889</v>
      </c>
      <c r="H76" s="78">
        <f>'Model input'!$C$71*H33</f>
        <v>1094662.2973697558</v>
      </c>
      <c r="I76" s="78">
        <f>'Model input'!$C$71*I33</f>
        <v>1022934.21220342</v>
      </c>
      <c r="J76" s="78">
        <f>'Model input'!$C$71*J33</f>
        <v>835258.56642245513</v>
      </c>
      <c r="K76" s="78">
        <f>'Model input'!$C$71*K33</f>
        <v>662280.65614958445</v>
      </c>
      <c r="L76" s="78">
        <f>'Model input'!$C$71*L33</f>
        <v>588724.64243868645</v>
      </c>
      <c r="M76" s="78">
        <f>'Model input'!$C$71*M33</f>
        <v>456185.12015607732</v>
      </c>
      <c r="N76" s="78">
        <f>'Model input'!$C$71*O33</f>
        <v>0</v>
      </c>
      <c r="P76" s="136"/>
      <c r="Q76" s="136"/>
      <c r="Y76" s="65"/>
    </row>
    <row r="77" spans="1:25" ht="20.149999999999999" customHeight="1" x14ac:dyDescent="0.35">
      <c r="A77" s="66"/>
      <c r="B77" s="224" t="s">
        <v>57</v>
      </c>
      <c r="C77" s="224" t="s">
        <v>210</v>
      </c>
      <c r="D77" s="78">
        <v>0</v>
      </c>
      <c r="E77" s="78">
        <f>D69*'Model input'!$D$71</f>
        <v>-76744.139678514359</v>
      </c>
      <c r="F77" s="78">
        <f>E69*'Model input'!$D$71</f>
        <v>-189822.4612681311</v>
      </c>
      <c r="G77" s="78">
        <f>F69*'Model input'!$D$71</f>
        <v>759996.1376819096</v>
      </c>
      <c r="H77" s="78">
        <f>G69*'Model input'!$D$71</f>
        <v>1249660.2251072815</v>
      </c>
      <c r="I77" s="78">
        <f>H69*'Model input'!$D$71</f>
        <v>1712130.2170743251</v>
      </c>
      <c r="J77" s="78">
        <f>I69*'Model input'!$D$71</f>
        <v>1590196.5181224267</v>
      </c>
      <c r="K77" s="78">
        <f>J69*'Model input'!$D$71</f>
        <v>1319634.2417395331</v>
      </c>
      <c r="L77" s="78">
        <f>K69*'Model input'!$D$71</f>
        <v>1081114.5828179093</v>
      </c>
      <c r="M77" s="78">
        <f>L69*'Model input'!$D$71</f>
        <v>992831.31856550602</v>
      </c>
      <c r="N77" s="78">
        <f>M69*'Model input'!$D$71</f>
        <v>734349.65513430489</v>
      </c>
      <c r="P77" s="136"/>
      <c r="Q77" s="136"/>
      <c r="Y77" s="65"/>
    </row>
    <row r="78" spans="1:25" ht="18.649999999999999" customHeight="1" x14ac:dyDescent="0.35">
      <c r="A78" s="66"/>
      <c r="B78" s="224" t="s">
        <v>163</v>
      </c>
      <c r="C78" s="224" t="s">
        <v>210</v>
      </c>
      <c r="D78" s="78">
        <f t="shared" ref="D78:N78" si="20">SUM(D76:D77)</f>
        <v>-77313.906537235147</v>
      </c>
      <c r="E78" s="78">
        <f t="shared" si="20"/>
        <v>-150445.55891795747</v>
      </c>
      <c r="F78" s="78">
        <f t="shared" si="20"/>
        <v>-77891.619666185346</v>
      </c>
      <c r="G78" s="78">
        <f t="shared" si="20"/>
        <v>2031509.9976907996</v>
      </c>
      <c r="H78" s="78">
        <f t="shared" si="20"/>
        <v>2344322.5224770373</v>
      </c>
      <c r="I78" s="78">
        <f t="shared" si="20"/>
        <v>2735064.4292777451</v>
      </c>
      <c r="J78" s="78">
        <f t="shared" si="20"/>
        <v>2425455.0845448817</v>
      </c>
      <c r="K78" s="78">
        <f t="shared" si="20"/>
        <v>1981914.8978891177</v>
      </c>
      <c r="L78" s="78">
        <f t="shared" si="20"/>
        <v>1669839.2252565958</v>
      </c>
      <c r="M78" s="78">
        <f t="shared" si="20"/>
        <v>1449016.4387215832</v>
      </c>
      <c r="N78" s="78">
        <f t="shared" si="20"/>
        <v>734349.65513430489</v>
      </c>
      <c r="P78" s="136"/>
      <c r="Q78" s="136"/>
      <c r="Y78" s="65"/>
    </row>
    <row r="79" spans="1:25" x14ac:dyDescent="0.35">
      <c r="A79" s="66"/>
      <c r="Y79" s="65"/>
    </row>
    <row r="80" spans="1:25" ht="18" x14ac:dyDescent="0.4">
      <c r="A80" s="67"/>
      <c r="B80" s="163" t="s">
        <v>247</v>
      </c>
      <c r="C80" s="134"/>
      <c r="D80" s="103"/>
      <c r="E80" s="114"/>
      <c r="F80" s="12"/>
      <c r="G80" s="12"/>
      <c r="H80" s="12"/>
      <c r="I80" s="12"/>
      <c r="J80" s="12"/>
      <c r="K80" s="12"/>
      <c r="L80" s="12"/>
      <c r="M80" s="12"/>
      <c r="N80" s="12"/>
      <c r="O80" s="12"/>
      <c r="P80" s="12"/>
      <c r="Q80" s="12"/>
      <c r="R80" s="12"/>
      <c r="S80" s="12"/>
      <c r="T80" s="12"/>
      <c r="U80" s="12"/>
      <c r="V80" s="12"/>
      <c r="W80" s="12"/>
      <c r="X80" s="12"/>
      <c r="Y80" s="69"/>
    </row>
    <row r="81" spans="1:25" s="24" customFormat="1" ht="18" x14ac:dyDescent="0.4">
      <c r="A81" s="141"/>
      <c r="B81" s="36"/>
      <c r="C81" s="142"/>
      <c r="D81" s="143"/>
      <c r="E81" s="144"/>
      <c r="F81" s="36"/>
      <c r="G81" s="36"/>
      <c r="H81" s="36"/>
      <c r="I81" s="36"/>
      <c r="J81" s="36"/>
      <c r="K81" s="36"/>
      <c r="L81" s="36"/>
      <c r="M81" s="36"/>
      <c r="N81" s="36"/>
      <c r="O81" s="36"/>
      <c r="P81" s="36"/>
      <c r="Q81" s="36"/>
      <c r="R81" s="36"/>
      <c r="S81" s="36"/>
      <c r="T81" s="36"/>
      <c r="U81" s="36"/>
      <c r="V81" s="36"/>
      <c r="W81" s="36"/>
      <c r="X81" s="36"/>
      <c r="Y81" s="90"/>
    </row>
    <row r="82" spans="1:25" ht="15.75" customHeight="1" x14ac:dyDescent="0.35">
      <c r="A82" s="66"/>
      <c r="B82" s="129"/>
      <c r="C82" s="129"/>
      <c r="D82" s="129">
        <v>2021</v>
      </c>
      <c r="E82" s="4">
        <v>2022</v>
      </c>
      <c r="F82" s="4">
        <v>2023</v>
      </c>
      <c r="G82" s="4">
        <v>2024</v>
      </c>
      <c r="H82" s="4">
        <v>2025</v>
      </c>
      <c r="Y82" s="65"/>
    </row>
    <row r="83" spans="1:25" ht="15" customHeight="1" x14ac:dyDescent="0.35">
      <c r="A83" s="66"/>
      <c r="B83" s="224" t="s">
        <v>211</v>
      </c>
      <c r="C83" s="61"/>
      <c r="D83" s="194">
        <f>57534/(1+'Model input'!C13)</f>
        <v>57534</v>
      </c>
      <c r="E83" s="194">
        <f>866771/(1+'Model input'!C13)</f>
        <v>866771</v>
      </c>
      <c r="F83" s="194">
        <f>1361556.75/(1+'Model input'!C13)</f>
        <v>1361556.75</v>
      </c>
      <c r="G83" s="194">
        <f>787612.48/(1+'Model input'!C13)</f>
        <v>787612.48</v>
      </c>
      <c r="H83" s="194">
        <f>328597.46/(1+'Model input'!C13)+309743+99963</f>
        <v>738303.46</v>
      </c>
      <c r="Y83" s="65"/>
    </row>
    <row r="84" spans="1:25" ht="15" customHeight="1" x14ac:dyDescent="0.35">
      <c r="A84" s="66"/>
      <c r="B84" s="224" t="s">
        <v>212</v>
      </c>
      <c r="C84" s="61"/>
      <c r="D84" s="78">
        <f>D83/('Model input'!D80/'Model input'!$D$80)</f>
        <v>57534</v>
      </c>
      <c r="E84" s="78">
        <f>E83/('Model input'!E80/'Model input'!$D$80)</f>
        <v>816976.03079645382</v>
      </c>
      <c r="F84" s="78">
        <f>F83/('Model input'!F80/'Model input'!$D$80)</f>
        <v>1209097.8654183368</v>
      </c>
      <c r="G84" s="78">
        <f>G83/('Model input'!G80/'Model input'!$D$80)</f>
        <v>678400.57816094847</v>
      </c>
      <c r="H84" s="78">
        <f>H83/('Model input'!H80/'Model input'!$D$80)</f>
        <v>621082.80313318281</v>
      </c>
      <c r="Y84" s="65"/>
    </row>
    <row r="85" spans="1:25" ht="15" customHeight="1" x14ac:dyDescent="0.35">
      <c r="A85" s="66"/>
      <c r="B85" s="224" t="s">
        <v>213</v>
      </c>
      <c r="C85" s="61"/>
      <c r="D85" s="78">
        <f>D84/(1+'Model input'!$C$11)^(D82-2021)</f>
        <v>57534</v>
      </c>
      <c r="E85" s="78">
        <f>E84/(1+'Model input'!$C$11)^(E82-2021)</f>
        <v>742705.48254223063</v>
      </c>
      <c r="F85" s="78">
        <f>F84/(1+'Model input'!$C$11)^(F82-2021)</f>
        <v>999254.43423003028</v>
      </c>
      <c r="G85" s="78">
        <f>G84/(1+'Model input'!$C$11)^(G82-2021)</f>
        <v>509692.3953125081</v>
      </c>
      <c r="H85" s="78">
        <f>H84/(1+'Model input'!$C$11)^(H82-2021)</f>
        <v>424207.91143581906</v>
      </c>
      <c r="Y85" s="65"/>
    </row>
    <row r="86" spans="1:25" x14ac:dyDescent="0.35">
      <c r="A86" s="66"/>
      <c r="D86" s="136"/>
      <c r="E86" s="136"/>
      <c r="F86" s="136"/>
      <c r="G86" s="136"/>
      <c r="H86" s="136"/>
      <c r="Y86" s="65"/>
    </row>
    <row r="87" spans="1:25" ht="17.149999999999999" customHeight="1" x14ac:dyDescent="0.35">
      <c r="A87" s="66"/>
      <c r="B87" s="157" t="s">
        <v>214</v>
      </c>
      <c r="C87" s="158">
        <f>SUM(D85:H85)</f>
        <v>2733394.2235205881</v>
      </c>
      <c r="D87" s="145"/>
      <c r="E87" s="145"/>
      <c r="F87" s="145"/>
      <c r="G87" s="136"/>
      <c r="H87" s="136"/>
      <c r="Y87" s="65"/>
    </row>
    <row r="88" spans="1:25" ht="16.5" customHeight="1" x14ac:dyDescent="0.35">
      <c r="A88" s="66"/>
      <c r="B88" s="157" t="s">
        <v>215</v>
      </c>
      <c r="C88" s="158">
        <f>C87/SUM('Model input'!E71)</f>
        <v>110.20417786237907</v>
      </c>
      <c r="D88" s="145"/>
      <c r="E88" s="145"/>
      <c r="F88" s="145"/>
      <c r="G88" s="136"/>
      <c r="H88" s="136"/>
      <c r="Y88" s="65"/>
    </row>
    <row r="89" spans="1:25" ht="25.5" x14ac:dyDescent="0.35">
      <c r="A89" s="66"/>
      <c r="B89" s="118"/>
      <c r="C89" s="146"/>
      <c r="D89" s="145"/>
      <c r="E89" s="145"/>
      <c r="F89" s="145"/>
      <c r="G89" s="136"/>
      <c r="Y89" s="65"/>
    </row>
    <row r="90" spans="1:25" ht="18" x14ac:dyDescent="0.4">
      <c r="A90" s="67"/>
      <c r="B90" s="163" t="s">
        <v>248</v>
      </c>
      <c r="C90" s="134"/>
      <c r="D90" s="103"/>
      <c r="E90" s="114"/>
      <c r="F90" s="12"/>
      <c r="G90" s="12"/>
      <c r="H90" s="12"/>
      <c r="I90" s="12"/>
      <c r="J90" s="12"/>
      <c r="K90" s="12"/>
      <c r="L90" s="12"/>
      <c r="M90" s="12"/>
      <c r="N90" s="12"/>
      <c r="O90" s="12"/>
      <c r="P90" s="12"/>
      <c r="Q90" s="12"/>
      <c r="R90" s="12"/>
      <c r="S90" s="12"/>
      <c r="T90" s="12"/>
      <c r="U90" s="12"/>
      <c r="V90" s="12"/>
      <c r="W90" s="12"/>
      <c r="X90" s="12"/>
      <c r="Y90" s="69"/>
    </row>
    <row r="91" spans="1:25" ht="18" x14ac:dyDescent="0.4">
      <c r="A91" s="66"/>
      <c r="B91" s="102"/>
      <c r="C91" s="147"/>
      <c r="D91" s="112"/>
      <c r="E91" s="113"/>
      <c r="F91" s="102"/>
      <c r="G91" s="102"/>
      <c r="H91" s="102"/>
      <c r="I91" s="102"/>
      <c r="J91" s="102"/>
      <c r="K91" s="102"/>
      <c r="L91" s="102"/>
      <c r="M91" s="102"/>
      <c r="N91" s="102"/>
      <c r="O91" s="102"/>
      <c r="P91" s="102"/>
      <c r="Q91" s="102"/>
      <c r="R91" s="102"/>
      <c r="S91" s="102"/>
      <c r="T91" s="102"/>
      <c r="U91" s="102"/>
      <c r="V91" s="102"/>
      <c r="W91" s="102"/>
      <c r="X91" s="102"/>
      <c r="Y91" s="91"/>
    </row>
    <row r="92" spans="1:25" ht="28.5" customHeight="1" x14ac:dyDescent="0.35">
      <c r="A92" s="66"/>
      <c r="B92" s="157" t="s">
        <v>216</v>
      </c>
      <c r="C92" s="158">
        <f>SUM(D78:N78)</f>
        <v>15065821.165870689</v>
      </c>
      <c r="Y92" s="65"/>
    </row>
    <row r="93" spans="1:25" ht="23.15" customHeight="1" x14ac:dyDescent="0.35">
      <c r="A93" s="66"/>
      <c r="B93" s="157" t="s">
        <v>217</v>
      </c>
      <c r="C93" s="158">
        <f>C92-C87</f>
        <v>12332426.942350101</v>
      </c>
      <c r="Y93" s="65"/>
    </row>
    <row r="94" spans="1:25" ht="23.15" customHeight="1" x14ac:dyDescent="0.35">
      <c r="A94" s="66"/>
      <c r="B94" s="157" t="s">
        <v>218</v>
      </c>
      <c r="C94" s="158">
        <f>SUM(D33:O33)</f>
        <v>706.87078581743481</v>
      </c>
      <c r="Y94" s="65"/>
    </row>
    <row r="95" spans="1:25" ht="23.15" customHeight="1" x14ac:dyDescent="0.35">
      <c r="A95" s="66"/>
      <c r="B95" s="157" t="s">
        <v>219</v>
      </c>
      <c r="C95" s="158">
        <f>SUM(D69:M69)</f>
        <v>557.07453059431293</v>
      </c>
      <c r="Y95" s="65"/>
    </row>
    <row r="96" spans="1:25" ht="15.5" x14ac:dyDescent="0.35">
      <c r="A96" s="66"/>
      <c r="B96" s="157" t="s">
        <v>220</v>
      </c>
      <c r="C96" s="158">
        <f>SUM(D78:N78)/SUM('Model input'!C71:D71)</f>
        <v>607.41931080396273</v>
      </c>
      <c r="Y96" s="65"/>
    </row>
    <row r="97" spans="1:25" ht="24.65" customHeight="1" x14ac:dyDescent="0.35">
      <c r="A97" s="66"/>
      <c r="B97" s="157" t="s">
        <v>221</v>
      </c>
      <c r="C97" s="159">
        <f>C96-C88</f>
        <v>497.21513294158365</v>
      </c>
      <c r="Y97" s="65"/>
    </row>
    <row r="98" spans="1:25" ht="21.75" customHeight="1" x14ac:dyDescent="0.35">
      <c r="A98" s="66"/>
      <c r="B98" s="157" t="s">
        <v>222</v>
      </c>
      <c r="C98" s="160">
        <f>AVERAGE(D31:M31)/'Model input'!C41</f>
        <v>6.711212897563848E-2</v>
      </c>
      <c r="Y98" s="65"/>
    </row>
    <row r="99" spans="1:25" ht="17.25" customHeight="1" x14ac:dyDescent="0.35">
      <c r="A99" s="66"/>
      <c r="F99" s="148"/>
      <c r="Y99" s="65"/>
    </row>
    <row r="100" spans="1:25" ht="18" x14ac:dyDescent="0.4">
      <c r="A100" s="67"/>
      <c r="B100" s="163" t="s">
        <v>249</v>
      </c>
      <c r="C100" s="134"/>
      <c r="D100" s="103"/>
      <c r="E100" s="114"/>
      <c r="F100" s="12"/>
      <c r="G100" s="12"/>
      <c r="H100" s="12"/>
      <c r="I100" s="12"/>
      <c r="J100" s="12"/>
      <c r="K100" s="12"/>
      <c r="L100" s="12"/>
      <c r="M100" s="12"/>
      <c r="N100" s="12"/>
      <c r="O100" s="12"/>
      <c r="P100" s="12"/>
      <c r="Q100" s="12"/>
      <c r="R100" s="12"/>
      <c r="S100" s="12"/>
      <c r="T100" s="12"/>
      <c r="U100" s="12"/>
      <c r="V100" s="12"/>
      <c r="W100" s="12"/>
      <c r="X100" s="12"/>
      <c r="Y100" s="69"/>
    </row>
    <row r="101" spans="1:25" x14ac:dyDescent="0.35">
      <c r="A101" s="66"/>
      <c r="Y101" s="65"/>
    </row>
    <row r="102" spans="1:25" ht="35.15" customHeight="1" x14ac:dyDescent="0.35">
      <c r="A102" s="66"/>
      <c r="B102" s="130" t="s">
        <v>223</v>
      </c>
      <c r="C102" s="80">
        <f>C92/C87</f>
        <v>5.5117630074106332</v>
      </c>
      <c r="D102" s="88" t="s">
        <v>224</v>
      </c>
      <c r="E102" s="149"/>
      <c r="Y102" s="65"/>
    </row>
    <row r="103" spans="1:25" ht="14.9" customHeight="1" x14ac:dyDescent="0.35">
      <c r="A103" s="71"/>
      <c r="I103" s="212"/>
      <c r="J103" s="212"/>
      <c r="K103" s="212"/>
      <c r="M103" s="212"/>
      <c r="N103" s="236"/>
      <c r="O103" s="236"/>
      <c r="P103" s="236"/>
      <c r="Q103" s="236"/>
      <c r="Y103" s="65"/>
    </row>
    <row r="104" spans="1:25" x14ac:dyDescent="0.35">
      <c r="B104" s="306"/>
      <c r="C104" s="307"/>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row>
    <row r="144" spans="4:14" x14ac:dyDescent="0.35">
      <c r="D144" s="24"/>
      <c r="E144" s="24"/>
      <c r="F144" s="24"/>
      <c r="G144" s="24"/>
      <c r="H144" s="24"/>
      <c r="I144" s="24"/>
      <c r="J144" s="24"/>
      <c r="K144" s="24"/>
      <c r="L144" s="24"/>
      <c r="M144" s="24"/>
      <c r="N144" s="24"/>
    </row>
    <row r="145" spans="4:15" x14ac:dyDescent="0.35">
      <c r="D145" s="24"/>
      <c r="E145" s="24"/>
      <c r="F145" s="24"/>
      <c r="G145" s="24"/>
      <c r="H145" s="24"/>
      <c r="I145" s="24"/>
      <c r="J145" s="24"/>
      <c r="K145" s="24"/>
      <c r="L145" s="24"/>
      <c r="M145" s="24"/>
      <c r="N145" s="24"/>
    </row>
    <row r="146" spans="4:15" x14ac:dyDescent="0.35">
      <c r="D146" s="24"/>
      <c r="E146" s="83"/>
      <c r="F146" s="335"/>
      <c r="G146" s="335"/>
      <c r="H146" s="335"/>
      <c r="I146" s="335"/>
      <c r="J146" s="335"/>
      <c r="K146" s="335"/>
      <c r="L146" s="335"/>
      <c r="M146" s="24"/>
      <c r="N146" s="24"/>
    </row>
    <row r="147" spans="4:15" x14ac:dyDescent="0.35">
      <c r="D147" s="24"/>
      <c r="E147" s="84"/>
      <c r="F147" s="293"/>
      <c r="G147" s="293"/>
      <c r="H147" s="85"/>
      <c r="I147" s="293"/>
      <c r="J147" s="293"/>
      <c r="K147" s="293"/>
      <c r="L147" s="293"/>
      <c r="M147" s="293"/>
      <c r="N147" s="24"/>
    </row>
    <row r="148" spans="4:15" x14ac:dyDescent="0.35">
      <c r="D148" s="336"/>
      <c r="E148" s="199"/>
      <c r="F148" s="86"/>
      <c r="G148" s="86"/>
      <c r="H148" s="86"/>
      <c r="I148" s="86"/>
      <c r="J148" s="86"/>
      <c r="K148" s="86"/>
      <c r="L148" s="86"/>
      <c r="M148" s="86"/>
      <c r="N148" s="24"/>
    </row>
    <row r="149" spans="4:15" x14ac:dyDescent="0.35">
      <c r="D149" s="336"/>
      <c r="E149" s="199"/>
      <c r="F149" s="86"/>
      <c r="G149" s="86"/>
      <c r="H149" s="86"/>
      <c r="I149" s="86"/>
      <c r="J149" s="86"/>
      <c r="K149" s="86"/>
      <c r="L149" s="86"/>
      <c r="M149" s="86"/>
      <c r="N149" s="24"/>
    </row>
    <row r="150" spans="4:15" x14ac:dyDescent="0.35">
      <c r="D150" s="336"/>
      <c r="E150" s="199"/>
      <c r="F150" s="86"/>
      <c r="G150" s="86"/>
      <c r="H150" s="86"/>
      <c r="I150" s="86"/>
      <c r="J150" s="86"/>
      <c r="K150" s="86"/>
      <c r="L150" s="86"/>
      <c r="M150" s="86"/>
      <c r="N150" s="24"/>
    </row>
    <row r="151" spans="4:15" x14ac:dyDescent="0.35">
      <c r="D151" s="336"/>
      <c r="E151" s="199"/>
      <c r="F151" s="86"/>
      <c r="G151" s="86"/>
      <c r="H151" s="86"/>
      <c r="I151" s="86"/>
      <c r="J151" s="86"/>
      <c r="K151" s="86"/>
      <c r="L151" s="86"/>
      <c r="M151" s="86"/>
      <c r="N151" s="24"/>
    </row>
    <row r="152" spans="4:15" x14ac:dyDescent="0.35">
      <c r="D152" s="336"/>
      <c r="E152" s="199"/>
      <c r="F152" s="86"/>
      <c r="G152" s="86"/>
      <c r="H152" s="86"/>
      <c r="I152" s="86"/>
      <c r="J152" s="86"/>
      <c r="K152" s="86"/>
      <c r="L152" s="86"/>
      <c r="M152" s="86"/>
      <c r="N152" s="24"/>
    </row>
    <row r="153" spans="4:15" x14ac:dyDescent="0.35">
      <c r="D153" s="336"/>
      <c r="E153" s="87"/>
      <c r="F153" s="86"/>
      <c r="G153" s="86"/>
      <c r="H153" s="86"/>
      <c r="I153" s="86"/>
      <c r="J153" s="86"/>
      <c r="K153" s="86"/>
      <c r="L153" s="86"/>
      <c r="M153" s="86"/>
      <c r="N153" s="24"/>
    </row>
    <row r="154" spans="4:15" x14ac:dyDescent="0.35">
      <c r="D154" s="336"/>
      <c r="E154" s="199"/>
      <c r="F154" s="86"/>
      <c r="G154" s="86"/>
      <c r="H154" s="86"/>
      <c r="I154" s="86"/>
      <c r="J154" s="86"/>
      <c r="K154" s="86"/>
      <c r="L154" s="86"/>
      <c r="M154" s="86"/>
      <c r="N154" s="24"/>
    </row>
    <row r="155" spans="4:15" x14ac:dyDescent="0.35">
      <c r="D155" s="336"/>
      <c r="E155" s="199"/>
      <c r="F155" s="86"/>
      <c r="G155" s="86"/>
      <c r="H155" s="86"/>
      <c r="I155" s="86"/>
      <c r="J155" s="86"/>
      <c r="K155" s="86"/>
      <c r="L155" s="86"/>
      <c r="M155" s="86"/>
      <c r="N155" s="24"/>
    </row>
    <row r="156" spans="4:15" x14ac:dyDescent="0.35">
      <c r="D156" s="336"/>
      <c r="E156" s="199"/>
      <c r="F156" s="86"/>
      <c r="G156" s="86"/>
      <c r="H156" s="86"/>
      <c r="I156" s="86"/>
      <c r="J156" s="86"/>
      <c r="K156" s="86"/>
      <c r="L156" s="86"/>
      <c r="M156" s="86"/>
      <c r="N156" s="24"/>
    </row>
    <row r="157" spans="4:15" x14ac:dyDescent="0.35">
      <c r="D157" s="336"/>
      <c r="E157" s="199"/>
      <c r="F157" s="86"/>
      <c r="G157" s="86"/>
      <c r="H157" s="86"/>
      <c r="I157" s="86"/>
      <c r="J157" s="86"/>
      <c r="K157" s="86"/>
      <c r="L157" s="86"/>
      <c r="M157" s="86"/>
      <c r="N157" s="24"/>
    </row>
    <row r="158" spans="4:15" x14ac:dyDescent="0.35">
      <c r="D158" s="24"/>
      <c r="E158" s="24"/>
      <c r="F158" s="24"/>
      <c r="G158" s="24"/>
      <c r="H158" s="24"/>
      <c r="I158" s="24"/>
      <c r="J158" s="24"/>
      <c r="K158" s="24"/>
      <c r="L158" s="24"/>
      <c r="M158" s="24"/>
      <c r="N158" s="24"/>
    </row>
    <row r="160" spans="4:15" x14ac:dyDescent="0.35">
      <c r="E160" s="24"/>
      <c r="F160" s="24"/>
      <c r="G160" s="24"/>
      <c r="H160" s="24"/>
      <c r="I160" s="24"/>
      <c r="J160" s="24"/>
      <c r="K160" s="24"/>
      <c r="L160" s="24"/>
      <c r="M160" s="24"/>
      <c r="N160" s="24"/>
      <c r="O160" s="24"/>
    </row>
    <row r="161" spans="4:15" x14ac:dyDescent="0.35">
      <c r="E161" s="24"/>
      <c r="F161" s="335"/>
      <c r="G161" s="335"/>
      <c r="H161" s="335"/>
      <c r="I161" s="335"/>
      <c r="J161" s="335"/>
      <c r="K161" s="335"/>
      <c r="L161" s="335"/>
      <c r="M161" s="24"/>
      <c r="N161" s="24"/>
      <c r="O161" s="24"/>
    </row>
    <row r="162" spans="4:15" x14ac:dyDescent="0.35">
      <c r="D162" s="332"/>
      <c r="E162" s="24"/>
      <c r="F162" s="293"/>
      <c r="G162" s="293"/>
      <c r="H162" s="85"/>
      <c r="I162" s="293"/>
      <c r="J162" s="293"/>
      <c r="K162" s="293"/>
      <c r="L162" s="293"/>
      <c r="M162" s="293"/>
      <c r="N162" s="24"/>
      <c r="O162" s="24"/>
    </row>
    <row r="163" spans="4:15" x14ac:dyDescent="0.35">
      <c r="D163" s="332"/>
      <c r="E163" s="24"/>
      <c r="F163" s="86"/>
      <c r="G163" s="86"/>
      <c r="H163" s="86"/>
      <c r="I163" s="86"/>
      <c r="J163" s="86"/>
      <c r="K163" s="86"/>
      <c r="L163" s="86"/>
      <c r="M163" s="86"/>
      <c r="N163" s="24"/>
      <c r="O163" s="24"/>
    </row>
    <row r="164" spans="4:15" x14ac:dyDescent="0.35">
      <c r="D164" s="332"/>
      <c r="E164" s="24"/>
      <c r="F164" s="86"/>
      <c r="G164" s="86"/>
      <c r="H164" s="86"/>
      <c r="I164" s="86"/>
      <c r="J164" s="86"/>
      <c r="K164" s="86"/>
      <c r="L164" s="86"/>
      <c r="M164" s="86"/>
      <c r="N164" s="24"/>
      <c r="O164" s="24"/>
    </row>
    <row r="165" spans="4:15" x14ac:dyDescent="0.35">
      <c r="D165" s="332"/>
      <c r="E165" s="24"/>
      <c r="F165" s="86"/>
      <c r="G165" s="86"/>
      <c r="H165" s="86"/>
      <c r="I165" s="86"/>
      <c r="J165" s="86"/>
      <c r="K165" s="86"/>
      <c r="L165" s="86"/>
      <c r="M165" s="86"/>
      <c r="N165" s="24"/>
      <c r="O165" s="24"/>
    </row>
    <row r="166" spans="4:15" x14ac:dyDescent="0.35">
      <c r="D166" s="332"/>
      <c r="E166" s="24"/>
      <c r="F166" s="86"/>
      <c r="G166" s="86"/>
      <c r="H166" s="86"/>
      <c r="I166" s="86"/>
      <c r="J166" s="86"/>
      <c r="K166" s="86"/>
      <c r="L166" s="86"/>
      <c r="M166" s="86"/>
      <c r="N166" s="24"/>
      <c r="O166" s="24"/>
    </row>
    <row r="167" spans="4:15" x14ac:dyDescent="0.35">
      <c r="D167" s="332"/>
      <c r="E167" s="24"/>
      <c r="F167" s="86"/>
      <c r="G167" s="86"/>
      <c r="H167" s="86"/>
      <c r="I167" s="86"/>
      <c r="J167" s="86"/>
      <c r="K167" s="86"/>
      <c r="L167" s="86"/>
      <c r="M167" s="86"/>
      <c r="N167" s="24"/>
      <c r="O167" s="24"/>
    </row>
    <row r="168" spans="4:15" x14ac:dyDescent="0.35">
      <c r="D168" s="332"/>
      <c r="E168" s="24"/>
      <c r="F168" s="86"/>
      <c r="G168" s="86"/>
      <c r="H168" s="86"/>
      <c r="I168" s="86"/>
      <c r="J168" s="86"/>
      <c r="K168" s="86"/>
      <c r="L168" s="86"/>
      <c r="M168" s="86"/>
      <c r="N168" s="24"/>
      <c r="O168" s="24"/>
    </row>
    <row r="169" spans="4:15" x14ac:dyDescent="0.35">
      <c r="D169" s="332"/>
      <c r="E169" s="24"/>
      <c r="F169" s="86"/>
      <c r="G169" s="86"/>
      <c r="H169" s="86"/>
      <c r="I169" s="86"/>
      <c r="J169" s="86"/>
      <c r="K169" s="86"/>
      <c r="L169" s="86"/>
      <c r="M169" s="86"/>
      <c r="N169" s="24"/>
      <c r="O169" s="24"/>
    </row>
    <row r="170" spans="4:15" x14ac:dyDescent="0.35">
      <c r="D170" s="332"/>
      <c r="E170" s="24"/>
      <c r="F170" s="86"/>
      <c r="G170" s="86"/>
      <c r="H170" s="86"/>
      <c r="I170" s="86"/>
      <c r="J170" s="86"/>
      <c r="K170" s="86"/>
      <c r="L170" s="86"/>
      <c r="M170" s="86"/>
      <c r="N170" s="24"/>
      <c r="O170" s="24"/>
    </row>
    <row r="171" spans="4:15" x14ac:dyDescent="0.35">
      <c r="E171" s="24"/>
      <c r="F171" s="24"/>
      <c r="G171" s="24"/>
      <c r="H171" s="24"/>
      <c r="I171" s="24"/>
      <c r="J171" s="24"/>
      <c r="K171" s="24"/>
      <c r="L171" s="24"/>
      <c r="M171" s="24"/>
      <c r="N171" s="24"/>
      <c r="O171" s="24"/>
    </row>
    <row r="172" spans="4:15" x14ac:dyDescent="0.35">
      <c r="E172" s="24"/>
      <c r="F172" s="24"/>
      <c r="G172" s="24"/>
      <c r="H172" s="24"/>
      <c r="I172" s="24"/>
      <c r="J172" s="24"/>
      <c r="K172" s="24"/>
      <c r="L172" s="24"/>
      <c r="M172" s="24"/>
      <c r="N172" s="24"/>
      <c r="O172" s="24"/>
    </row>
  </sheetData>
  <sortState xmlns:xlrd2="http://schemas.microsoft.com/office/spreadsheetml/2017/richdata2" ref="R82:T82">
    <sortCondition ref="R82"/>
  </sortState>
  <mergeCells count="19">
    <mergeCell ref="B13:B21"/>
    <mergeCell ref="B33:C33"/>
    <mergeCell ref="B22:B25"/>
    <mergeCell ref="B26:B30"/>
    <mergeCell ref="B5:B12"/>
    <mergeCell ref="B31:C31"/>
    <mergeCell ref="D162:D168"/>
    <mergeCell ref="D169:D170"/>
    <mergeCell ref="B32:C32"/>
    <mergeCell ref="B67:C67"/>
    <mergeCell ref="F161:L161"/>
    <mergeCell ref="F146:L146"/>
    <mergeCell ref="D148:D157"/>
    <mergeCell ref="B69:C69"/>
    <mergeCell ref="B46:B55"/>
    <mergeCell ref="B56:B60"/>
    <mergeCell ref="B61:B66"/>
    <mergeCell ref="B37:B45"/>
    <mergeCell ref="B68:C68"/>
  </mergeCells>
  <conditionalFormatting sqref="B82:C82">
    <cfRule type="cellIs" dxfId="8" priority="16" operator="lessThan">
      <formula>0</formula>
    </cfRule>
  </conditionalFormatting>
  <conditionalFormatting sqref="C4">
    <cfRule type="cellIs" dxfId="7" priority="48" operator="lessThan">
      <formula>0</formula>
    </cfRule>
  </conditionalFormatting>
  <conditionalFormatting sqref="C36:M36 D37:M69 D75:N78 I103:K103 M103">
    <cfRule type="cellIs" dxfId="6" priority="53" operator="lessThan">
      <formula>0</formula>
    </cfRule>
  </conditionalFormatting>
  <conditionalFormatting sqref="D82:H85">
    <cfRule type="cellIs" dxfId="5" priority="10" operator="lessThan">
      <formula>0</formula>
    </cfRule>
  </conditionalFormatting>
  <conditionalFormatting sqref="D4:M33">
    <cfRule type="cellIs" dxfId="4" priority="5" operator="lessThan">
      <formula>0</formula>
    </cfRule>
  </conditionalFormatting>
  <conditionalFormatting sqref="O4:Y4">
    <cfRule type="cellIs" dxfId="3" priority="54" operator="lessThan">
      <formula>0</formula>
    </cfRule>
  </conditionalFormatting>
  <conditionalFormatting sqref="O36:Y36">
    <cfRule type="cellIs" dxfId="2" priority="45" operator="lessThan">
      <formula>0</formula>
    </cfRule>
  </conditionalFormatting>
  <conditionalFormatting sqref="P14:Y14">
    <cfRule type="cellIs" dxfId="1" priority="62" operator="lessThan">
      <formula>0</formula>
    </cfRule>
  </conditionalFormatting>
  <conditionalFormatting sqref="P46:Y46">
    <cfRule type="cellIs" dxfId="0" priority="22" operator="lessThan">
      <formula>0</formula>
    </cfRule>
  </conditionalFormatting>
  <pageMargins left="0.7" right="0.7" top="0.78740157499999996" bottom="0.78740157499999996" header="0.3" footer="0.3"/>
  <pageSetup paperSize="9" scale="14"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4C364-A139-44DD-BE78-DF02953A7A6E}">
  <dimension ref="A1:Y54"/>
  <sheetViews>
    <sheetView showGridLines="0" zoomScale="112" zoomScaleNormal="112" workbookViewId="0">
      <selection activeCell="B14" sqref="B14"/>
    </sheetView>
  </sheetViews>
  <sheetFormatPr baseColWidth="10" defaultColWidth="8.7265625" defaultRowHeight="14.5" x14ac:dyDescent="0.35"/>
  <cols>
    <col min="2" max="2" width="66.7265625" customWidth="1"/>
    <col min="4" max="4" width="14.1796875" customWidth="1"/>
  </cols>
  <sheetData>
    <row r="1" spans="1:25" ht="18" x14ac:dyDescent="0.4">
      <c r="A1" s="294"/>
      <c r="B1" s="164" t="s">
        <v>250</v>
      </c>
      <c r="C1" s="295"/>
      <c r="D1" s="295"/>
      <c r="E1" s="295"/>
      <c r="F1" s="295"/>
      <c r="G1" s="295"/>
      <c r="H1" s="295"/>
      <c r="I1" s="295"/>
      <c r="J1" s="295"/>
      <c r="K1" s="295"/>
      <c r="L1" s="295"/>
      <c r="M1" s="295"/>
      <c r="N1" s="295"/>
      <c r="O1" s="295"/>
      <c r="P1" s="295"/>
      <c r="Q1" s="295"/>
      <c r="R1" s="295"/>
      <c r="S1" s="295"/>
      <c r="T1" s="295"/>
      <c r="U1" s="295"/>
      <c r="V1" s="295"/>
      <c r="W1" s="295"/>
      <c r="X1" s="295"/>
      <c r="Y1" s="296"/>
    </row>
    <row r="2" spans="1:25" x14ac:dyDescent="0.35">
      <c r="B2" s="297" t="s">
        <v>253</v>
      </c>
      <c r="Y2" s="65"/>
    </row>
    <row r="3" spans="1:25" x14ac:dyDescent="0.35">
      <c r="B3" s="72"/>
      <c r="Y3" s="65"/>
    </row>
    <row r="4" spans="1:25" x14ac:dyDescent="0.35">
      <c r="B4" s="298" t="s">
        <v>234</v>
      </c>
      <c r="C4" s="299" t="s">
        <v>89</v>
      </c>
      <c r="D4" s="299" t="s">
        <v>235</v>
      </c>
      <c r="E4" s="298" t="s">
        <v>236</v>
      </c>
      <c r="G4" s="326" t="s">
        <v>79</v>
      </c>
      <c r="H4" s="326"/>
      <c r="I4" s="326"/>
      <c r="J4" s="326"/>
      <c r="K4" s="326"/>
      <c r="L4" s="326"/>
      <c r="Y4" s="65"/>
    </row>
    <row r="5" spans="1:25" x14ac:dyDescent="0.35">
      <c r="B5" s="286" t="s">
        <v>90</v>
      </c>
      <c r="C5" s="300">
        <v>0.1</v>
      </c>
      <c r="D5" s="300">
        <v>0.1</v>
      </c>
      <c r="E5" s="286" t="s">
        <v>237</v>
      </c>
      <c r="F5" t="s">
        <v>98</v>
      </c>
      <c r="G5" s="346" t="s">
        <v>81</v>
      </c>
      <c r="H5" s="346"/>
      <c r="I5" s="346"/>
      <c r="J5" s="346"/>
      <c r="K5" s="346"/>
      <c r="L5" s="346"/>
      <c r="Y5" s="65"/>
    </row>
    <row r="6" spans="1:25" x14ac:dyDescent="0.35">
      <c r="B6" s="286" t="s">
        <v>238</v>
      </c>
      <c r="C6" s="300">
        <v>0</v>
      </c>
      <c r="D6" s="300">
        <v>0</v>
      </c>
      <c r="E6" s="301" t="s">
        <v>239</v>
      </c>
      <c r="F6" t="s">
        <v>98</v>
      </c>
      <c r="G6" s="347" t="s">
        <v>83</v>
      </c>
      <c r="H6" s="347"/>
      <c r="I6" s="347"/>
      <c r="J6" s="347"/>
      <c r="K6" s="347"/>
      <c r="L6" s="347"/>
      <c r="Y6" s="65"/>
    </row>
    <row r="7" spans="1:25" x14ac:dyDescent="0.35">
      <c r="B7" s="224" t="s">
        <v>251</v>
      </c>
      <c r="C7" s="197">
        <v>16467</v>
      </c>
      <c r="D7" s="197">
        <v>16467</v>
      </c>
      <c r="E7" s="286" t="s">
        <v>237</v>
      </c>
      <c r="F7" t="s">
        <v>98</v>
      </c>
      <c r="Y7" s="65"/>
    </row>
    <row r="8" spans="1:25" x14ac:dyDescent="0.35">
      <c r="B8" s="216" t="s">
        <v>133</v>
      </c>
      <c r="C8" s="302">
        <v>0</v>
      </c>
      <c r="D8" s="302">
        <v>0</v>
      </c>
      <c r="E8" s="286" t="s">
        <v>237</v>
      </c>
      <c r="F8" t="s">
        <v>98</v>
      </c>
      <c r="Y8" s="65"/>
    </row>
    <row r="9" spans="1:25" x14ac:dyDescent="0.35">
      <c r="B9" s="308" t="s">
        <v>171</v>
      </c>
      <c r="C9" s="302">
        <v>0.34</v>
      </c>
      <c r="D9" s="302">
        <v>0.34</v>
      </c>
      <c r="E9" s="286" t="s">
        <v>237</v>
      </c>
      <c r="F9" t="s">
        <v>98</v>
      </c>
      <c r="Y9" s="65"/>
    </row>
    <row r="10" spans="1:25" x14ac:dyDescent="0.35">
      <c r="B10" s="255" t="s">
        <v>230</v>
      </c>
      <c r="C10" s="303">
        <v>0.1</v>
      </c>
      <c r="D10" s="303">
        <v>0.1</v>
      </c>
      <c r="E10" s="286" t="s">
        <v>237</v>
      </c>
      <c r="F10" t="s">
        <v>98</v>
      </c>
      <c r="Y10" s="65"/>
    </row>
    <row r="11" spans="1:25" x14ac:dyDescent="0.35">
      <c r="B11" s="249" t="s">
        <v>240</v>
      </c>
      <c r="C11" s="302">
        <v>1</v>
      </c>
      <c r="D11" s="302">
        <v>1</v>
      </c>
      <c r="E11" s="286" t="s">
        <v>237</v>
      </c>
      <c r="F11" t="s">
        <v>98</v>
      </c>
      <c r="Y11" s="65"/>
    </row>
    <row r="12" spans="1:25" x14ac:dyDescent="0.35">
      <c r="B12" s="249" t="s">
        <v>241</v>
      </c>
      <c r="C12" s="302">
        <v>1</v>
      </c>
      <c r="D12" s="302">
        <v>1</v>
      </c>
      <c r="E12" s="286" t="s">
        <v>237</v>
      </c>
      <c r="F12" t="s">
        <v>98</v>
      </c>
      <c r="Y12" s="65"/>
    </row>
    <row r="13" spans="1:25" x14ac:dyDescent="0.35">
      <c r="B13" s="72"/>
      <c r="Y13" s="65"/>
    </row>
    <row r="14" spans="1:25" ht="15.5" x14ac:dyDescent="0.35">
      <c r="B14" s="157" t="s">
        <v>242</v>
      </c>
      <c r="C14" s="304">
        <f>SROI!C102</f>
        <v>5.5117630074106332</v>
      </c>
      <c r="Y14" s="65"/>
    </row>
    <row r="15" spans="1:25" x14ac:dyDescent="0.35">
      <c r="Y15" s="65"/>
    </row>
    <row r="16" spans="1:25" x14ac:dyDescent="0.35">
      <c r="A16" s="66"/>
      <c r="E16" s="236"/>
      <c r="F16" s="236"/>
      <c r="G16" s="236"/>
      <c r="H16" s="236"/>
      <c r="I16" s="236"/>
      <c r="J16" s="236"/>
      <c r="K16" s="236"/>
      <c r="Y16" s="65"/>
    </row>
    <row r="17" spans="1:25" ht="17.25" customHeight="1" x14ac:dyDescent="0.35">
      <c r="A17" s="66"/>
      <c r="B17" s="349" t="s">
        <v>233</v>
      </c>
      <c r="C17" s="349"/>
      <c r="F17" s="348" t="s">
        <v>225</v>
      </c>
      <c r="G17" s="348"/>
      <c r="H17" s="348"/>
      <c r="I17" s="348"/>
      <c r="J17" s="348"/>
      <c r="K17" s="348"/>
      <c r="L17" s="348"/>
      <c r="P17" s="348" t="s">
        <v>226</v>
      </c>
      <c r="Q17" s="348"/>
      <c r="R17" s="348"/>
      <c r="S17" s="348"/>
      <c r="T17" s="348"/>
      <c r="U17" s="348"/>
      <c r="V17" s="348"/>
      <c r="Y17" s="65"/>
    </row>
    <row r="18" spans="1:25" ht="15" customHeight="1" x14ac:dyDescent="0.35">
      <c r="A18" s="66"/>
      <c r="B18" s="349"/>
      <c r="C18" s="349"/>
      <c r="E18" s="150">
        <f>SROI!C102</f>
        <v>5.5117630074106332</v>
      </c>
      <c r="F18" s="287">
        <v>0</v>
      </c>
      <c r="G18" s="287">
        <v>0.05</v>
      </c>
      <c r="H18" s="95">
        <v>0.1</v>
      </c>
      <c r="I18" s="287">
        <v>0.125</v>
      </c>
      <c r="J18" s="287">
        <v>0.15</v>
      </c>
      <c r="K18" s="287">
        <v>0.17499999999999999</v>
      </c>
      <c r="L18" s="287">
        <v>0.2</v>
      </c>
      <c r="O18" s="150">
        <f>SROI!C102</f>
        <v>5.5117630074106332</v>
      </c>
      <c r="P18" s="288">
        <v>-0.3</v>
      </c>
      <c r="Q18" s="288">
        <v>-0.2</v>
      </c>
      <c r="R18" s="288">
        <v>-0.1</v>
      </c>
      <c r="S18" s="93">
        <v>0</v>
      </c>
      <c r="T18" s="288">
        <v>0.1</v>
      </c>
      <c r="U18" s="288">
        <v>0.2</v>
      </c>
      <c r="V18" s="288">
        <v>0.3</v>
      </c>
      <c r="Y18" s="65"/>
    </row>
    <row r="19" spans="1:25" ht="15" customHeight="1" x14ac:dyDescent="0.35">
      <c r="A19" s="66"/>
      <c r="B19" s="349"/>
      <c r="C19" s="349"/>
      <c r="D19" s="332" t="s">
        <v>227</v>
      </c>
      <c r="E19" s="271">
        <v>5000</v>
      </c>
      <c r="F19" s="289">
        <f t="dataTable" ref="F19:L28" dt2D="1" dtr="1" r1="C5" r2="C7" ca="1"/>
        <v>6.1234625394377327</v>
      </c>
      <c r="G19" s="289">
        <v>4.8789951622506234</v>
      </c>
      <c r="H19" s="289">
        <v>3.9410680602685288</v>
      </c>
      <c r="I19" s="289">
        <v>3.5582022787564909</v>
      </c>
      <c r="J19" s="289">
        <v>3.2213653451104585</v>
      </c>
      <c r="K19" s="289">
        <v>2.9238575290315922</v>
      </c>
      <c r="L19" s="289">
        <v>2.6601049866617346</v>
      </c>
      <c r="N19" s="332" t="s">
        <v>228</v>
      </c>
      <c r="O19" s="290">
        <v>0.4</v>
      </c>
      <c r="P19" s="291">
        <f t="dataTable" ref="P19:V25" dt2D="1" dtr="1" r1="C8" r2="C12"/>
        <v>1.85074320178705</v>
      </c>
      <c r="Q19" s="289">
        <v>1.85074320178705</v>
      </c>
      <c r="R19" s="289">
        <v>1.85074320178705</v>
      </c>
      <c r="S19" s="289">
        <v>1.85074320178705</v>
      </c>
      <c r="T19" s="289">
        <v>1.85074320178705</v>
      </c>
      <c r="U19" s="289">
        <v>1.85074320178705</v>
      </c>
      <c r="V19" s="289">
        <v>1.85074320178705</v>
      </c>
      <c r="Y19" s="65"/>
    </row>
    <row r="20" spans="1:25" x14ac:dyDescent="0.35">
      <c r="A20" s="66"/>
      <c r="B20" s="349"/>
      <c r="C20" s="349"/>
      <c r="D20" s="332"/>
      <c r="E20" s="271">
        <v>7500</v>
      </c>
      <c r="F20" s="289">
        <v>6.6100388798141534</v>
      </c>
      <c r="G20" s="289">
        <v>5.2833579559691994</v>
      </c>
      <c r="H20" s="289">
        <v>4.2835061319398706</v>
      </c>
      <c r="I20" s="289">
        <v>3.8753169685998974</v>
      </c>
      <c r="J20" s="289">
        <v>3.516147303821159</v>
      </c>
      <c r="K20" s="289">
        <v>3.1988480863240776</v>
      </c>
      <c r="L20" s="289">
        <v>2.9174740260572101</v>
      </c>
      <c r="N20" s="332"/>
      <c r="O20" s="290">
        <v>0.5</v>
      </c>
      <c r="P20" s="289">
        <v>2.46091316939098</v>
      </c>
      <c r="Q20" s="289">
        <v>2.46091316939098</v>
      </c>
      <c r="R20" s="289">
        <v>2.46091316939098</v>
      </c>
      <c r="S20" s="289">
        <v>2.46091316939098</v>
      </c>
      <c r="T20" s="289">
        <v>2.46091316939098</v>
      </c>
      <c r="U20" s="289">
        <v>2.46091316939098</v>
      </c>
      <c r="V20" s="289">
        <v>2.46091316939098</v>
      </c>
      <c r="Y20" s="65"/>
    </row>
    <row r="21" spans="1:25" x14ac:dyDescent="0.35">
      <c r="A21" s="66"/>
      <c r="B21" s="349"/>
      <c r="C21" s="349"/>
      <c r="D21" s="332"/>
      <c r="E21" s="271">
        <v>10000</v>
      </c>
      <c r="F21" s="289">
        <v>7.0966152201905714</v>
      </c>
      <c r="G21" s="289">
        <v>5.6877207496877729</v>
      </c>
      <c r="H21" s="289">
        <v>4.6259442036112093</v>
      </c>
      <c r="I21" s="289">
        <v>4.1924316584433026</v>
      </c>
      <c r="J21" s="289">
        <v>3.8109292625318583</v>
      </c>
      <c r="K21" s="289">
        <v>3.473838643616562</v>
      </c>
      <c r="L21" s="289">
        <v>3.1748430654526847</v>
      </c>
      <c r="N21" s="332"/>
      <c r="O21" s="290">
        <v>0.6</v>
      </c>
      <c r="P21" s="289">
        <v>3.0710831369949112</v>
      </c>
      <c r="Q21" s="289">
        <v>3.0710831369949112</v>
      </c>
      <c r="R21" s="289">
        <v>3.0710831369949112</v>
      </c>
      <c r="S21" s="289">
        <v>3.0710831369949112</v>
      </c>
      <c r="T21" s="289">
        <v>3.0710831369949112</v>
      </c>
      <c r="U21" s="289">
        <v>3.0710831369949112</v>
      </c>
      <c r="V21" s="289">
        <v>3.0710831369949112</v>
      </c>
      <c r="Y21" s="65"/>
    </row>
    <row r="22" spans="1:25" x14ac:dyDescent="0.35">
      <c r="A22" s="66"/>
      <c r="B22" s="349"/>
      <c r="C22" s="349"/>
      <c r="D22" s="332"/>
      <c r="E22" s="271">
        <v>12500</v>
      </c>
      <c r="F22" s="289">
        <v>7.5831915605669886</v>
      </c>
      <c r="G22" s="289">
        <v>6.0920835434063481</v>
      </c>
      <c r="H22" s="289">
        <v>4.9683822752825497</v>
      </c>
      <c r="I22" s="289">
        <v>4.5095463482867073</v>
      </c>
      <c r="J22" s="289">
        <v>4.1057112212425579</v>
      </c>
      <c r="K22" s="289">
        <v>3.748829200909046</v>
      </c>
      <c r="L22" s="289">
        <v>3.4322121048481598</v>
      </c>
      <c r="N22" s="332"/>
      <c r="O22" s="290">
        <v>0.7</v>
      </c>
      <c r="P22" s="289">
        <v>3.6812531045988401</v>
      </c>
      <c r="Q22" s="289">
        <v>3.6812531045988401</v>
      </c>
      <c r="R22" s="289">
        <v>3.6812531045988401</v>
      </c>
      <c r="S22" s="289">
        <v>3.6812531045988401</v>
      </c>
      <c r="T22" s="289">
        <v>3.6812531045988401</v>
      </c>
      <c r="U22" s="289">
        <v>3.6812531045988401</v>
      </c>
      <c r="V22" s="289">
        <v>3.6812531045988401</v>
      </c>
      <c r="Y22" s="65"/>
    </row>
    <row r="23" spans="1:25" x14ac:dyDescent="0.35">
      <c r="A23" s="66"/>
      <c r="B23" s="349"/>
      <c r="C23" s="349"/>
      <c r="D23" s="332"/>
      <c r="E23" s="271">
        <v>15000</v>
      </c>
      <c r="F23" s="289">
        <v>8.0697679009434076</v>
      </c>
      <c r="G23" s="289">
        <v>6.4964463371249215</v>
      </c>
      <c r="H23" s="289">
        <v>5.3108203469538902</v>
      </c>
      <c r="I23" s="289">
        <v>4.8266610381301138</v>
      </c>
      <c r="J23" s="289">
        <v>4.4004931799532576</v>
      </c>
      <c r="K23" s="289">
        <v>4.0238197582015314</v>
      </c>
      <c r="L23" s="289">
        <v>3.6895811442436348</v>
      </c>
      <c r="N23" s="332"/>
      <c r="O23" s="290">
        <v>0.8</v>
      </c>
      <c r="P23" s="289">
        <v>4.2914230722027717</v>
      </c>
      <c r="Q23" s="289">
        <v>4.2914230722027717</v>
      </c>
      <c r="R23" s="289">
        <v>4.2914230722027717</v>
      </c>
      <c r="S23" s="289">
        <v>4.2914230722027717</v>
      </c>
      <c r="T23" s="289">
        <v>4.2914230722027717</v>
      </c>
      <c r="U23" s="289">
        <v>4.2914230722027717</v>
      </c>
      <c r="V23" s="289">
        <v>4.2914230722027717</v>
      </c>
      <c r="Y23" s="65"/>
    </row>
    <row r="24" spans="1:25" x14ac:dyDescent="0.35">
      <c r="A24" s="66"/>
      <c r="B24" s="349"/>
      <c r="C24" s="349"/>
      <c r="D24" s="332"/>
      <c r="E24" s="97">
        <v>16467</v>
      </c>
      <c r="F24" s="289">
        <v>8.3552908974762907</v>
      </c>
      <c r="G24" s="289">
        <v>6.7337264244789816</v>
      </c>
      <c r="H24" s="151">
        <v>5.5117630074106332</v>
      </c>
      <c r="I24" s="289">
        <v>5.0127439381302246</v>
      </c>
      <c r="J24" s="289">
        <v>4.5734712333246961</v>
      </c>
      <c r="K24" s="289">
        <v>4.1851842172207609</v>
      </c>
      <c r="L24" s="289">
        <v>3.8406052965608994</v>
      </c>
      <c r="N24" s="332"/>
      <c r="O24" s="290">
        <v>0.9</v>
      </c>
      <c r="P24" s="289">
        <v>4.901593039806702</v>
      </c>
      <c r="Q24" s="289">
        <v>4.901593039806702</v>
      </c>
      <c r="R24" s="289">
        <v>4.901593039806702</v>
      </c>
      <c r="S24" s="289">
        <v>4.901593039806702</v>
      </c>
      <c r="T24" s="289">
        <v>4.901593039806702</v>
      </c>
      <c r="U24" s="289">
        <v>4.901593039806702</v>
      </c>
      <c r="V24" s="289">
        <v>4.901593039806702</v>
      </c>
      <c r="Y24" s="65"/>
    </row>
    <row r="25" spans="1:25" x14ac:dyDescent="0.35">
      <c r="A25" s="66"/>
      <c r="B25" s="349"/>
      <c r="C25" s="349"/>
      <c r="D25" s="332"/>
      <c r="E25" s="271">
        <v>17500</v>
      </c>
      <c r="F25" s="289">
        <v>8.5563442413198256</v>
      </c>
      <c r="G25" s="289">
        <v>6.9008091308434967</v>
      </c>
      <c r="H25" s="289">
        <v>5.6532584186252306</v>
      </c>
      <c r="I25" s="289">
        <v>5.1437757279735195</v>
      </c>
      <c r="J25" s="289">
        <v>4.6952751386639573</v>
      </c>
      <c r="K25" s="289">
        <v>4.2988103154940154</v>
      </c>
      <c r="L25" s="289">
        <v>3.9469501836391094</v>
      </c>
      <c r="N25" s="332"/>
      <c r="O25" s="94">
        <v>1</v>
      </c>
      <c r="P25" s="289">
        <v>5.5117630074106332</v>
      </c>
      <c r="Q25" s="289">
        <v>5.5117630074106332</v>
      </c>
      <c r="R25" s="289">
        <v>5.5117630074106332</v>
      </c>
      <c r="S25" s="151">
        <v>5.5117630074106332</v>
      </c>
      <c r="T25" s="289">
        <v>5.5117630074106332</v>
      </c>
      <c r="U25" s="289">
        <v>5.5117630074106332</v>
      </c>
      <c r="V25" s="289">
        <v>5.5117630074106332</v>
      </c>
      <c r="Y25" s="65"/>
    </row>
    <row r="26" spans="1:25" x14ac:dyDescent="0.35">
      <c r="A26" s="66"/>
      <c r="B26" s="349"/>
      <c r="C26" s="349"/>
      <c r="D26" s="332"/>
      <c r="E26" s="271">
        <v>20000</v>
      </c>
      <c r="F26" s="289">
        <v>9.0429205816962437</v>
      </c>
      <c r="G26" s="289">
        <v>7.305171924562071</v>
      </c>
      <c r="H26" s="289">
        <v>5.9956964902965701</v>
      </c>
      <c r="I26" s="289">
        <v>5.4608904178169251</v>
      </c>
      <c r="J26" s="289">
        <v>4.990057097374657</v>
      </c>
      <c r="K26" s="289">
        <v>4.5738008727864994</v>
      </c>
      <c r="L26" s="289">
        <v>4.2043192230345845</v>
      </c>
      <c r="Y26" s="65"/>
    </row>
    <row r="27" spans="1:25" x14ac:dyDescent="0.35">
      <c r="A27" s="66"/>
      <c r="B27" s="349"/>
      <c r="C27" s="349"/>
      <c r="D27" s="332"/>
      <c r="E27" s="271">
        <v>22500</v>
      </c>
      <c r="F27" s="289">
        <v>9.5294969220726617</v>
      </c>
      <c r="G27" s="289">
        <v>7.7095347182806453</v>
      </c>
      <c r="H27" s="289">
        <v>6.3381345619679088</v>
      </c>
      <c r="I27" s="289">
        <v>5.7780051076603316</v>
      </c>
      <c r="J27" s="289">
        <v>5.2848390560853575</v>
      </c>
      <c r="K27" s="289">
        <v>4.8487914300789834</v>
      </c>
      <c r="L27" s="289">
        <v>4.4616882624300596</v>
      </c>
      <c r="Y27" s="65"/>
    </row>
    <row r="28" spans="1:25" ht="15" customHeight="1" x14ac:dyDescent="0.35">
      <c r="A28" s="66"/>
      <c r="B28" s="349"/>
      <c r="C28" s="349"/>
      <c r="D28" s="332"/>
      <c r="E28" s="271">
        <v>25000</v>
      </c>
      <c r="F28" s="289">
        <v>10.016073262449082</v>
      </c>
      <c r="G28" s="289">
        <v>8.1138975119992196</v>
      </c>
      <c r="H28" s="289">
        <v>6.680572633639251</v>
      </c>
      <c r="I28" s="289">
        <v>6.0951197975037363</v>
      </c>
      <c r="J28" s="289">
        <v>5.5796210147960563</v>
      </c>
      <c r="K28" s="289">
        <v>5.1237819873714692</v>
      </c>
      <c r="L28" s="289">
        <v>4.7190573018255346</v>
      </c>
      <c r="P28" s="348" t="s">
        <v>135</v>
      </c>
      <c r="Q28" s="348"/>
      <c r="R28" s="348"/>
      <c r="S28" s="348"/>
      <c r="T28" s="348"/>
      <c r="U28" s="348"/>
      <c r="V28" s="348"/>
      <c r="Y28" s="65"/>
    </row>
    <row r="29" spans="1:25" x14ac:dyDescent="0.35">
      <c r="A29" s="66"/>
      <c r="B29" s="349"/>
      <c r="C29" s="349"/>
      <c r="O29" s="150">
        <f>SROI!C102</f>
        <v>5.5117630074106332</v>
      </c>
      <c r="P29" s="288">
        <v>0.4</v>
      </c>
      <c r="Q29" s="288">
        <v>0.5</v>
      </c>
      <c r="R29" s="288">
        <v>0.6</v>
      </c>
      <c r="S29" s="288">
        <v>0.7</v>
      </c>
      <c r="T29" s="288">
        <v>0.8</v>
      </c>
      <c r="U29" s="288">
        <v>0.9</v>
      </c>
      <c r="V29" s="93">
        <v>1</v>
      </c>
      <c r="Y29" s="65"/>
    </row>
    <row r="30" spans="1:25" ht="15.75" customHeight="1" x14ac:dyDescent="0.35">
      <c r="A30" s="66"/>
      <c r="B30" s="349"/>
      <c r="C30" s="349"/>
      <c r="N30" s="332" t="s">
        <v>228</v>
      </c>
      <c r="O30" s="290">
        <v>0.4</v>
      </c>
      <c r="P30" s="289">
        <f t="dataTable" ref="P30:V36" dt2D="1" dtr="1" r1="C11" r2="C12" ca="1"/>
        <v>1.5236360903466395</v>
      </c>
      <c r="Q30" s="289">
        <v>1.5781539422533744</v>
      </c>
      <c r="R30" s="289">
        <v>1.6326717941601094</v>
      </c>
      <c r="S30" s="289">
        <v>1.6871896460668443</v>
      </c>
      <c r="T30" s="289">
        <v>1.7417074979735798</v>
      </c>
      <c r="U30" s="289">
        <v>1.7962253498803151</v>
      </c>
      <c r="V30" s="289">
        <v>1.85074320178705</v>
      </c>
      <c r="Y30" s="65"/>
    </row>
    <row r="31" spans="1:25" ht="17.25" customHeight="1" x14ac:dyDescent="0.35">
      <c r="A31" s="66"/>
      <c r="B31" s="349"/>
      <c r="C31" s="349"/>
      <c r="F31" s="348" t="s">
        <v>225</v>
      </c>
      <c r="G31" s="348"/>
      <c r="H31" s="348"/>
      <c r="I31" s="348"/>
      <c r="J31" s="348"/>
      <c r="K31" s="348"/>
      <c r="L31" s="348"/>
      <c r="N31" s="332"/>
      <c r="O31" s="290">
        <v>0.5</v>
      </c>
      <c r="P31" s="289">
        <v>1.7677040773882116</v>
      </c>
      <c r="Q31" s="289">
        <v>1.8832389260553395</v>
      </c>
      <c r="R31" s="289">
        <v>1.9987737747224674</v>
      </c>
      <c r="S31" s="289">
        <v>2.1143086233895958</v>
      </c>
      <c r="T31" s="289">
        <v>2.2298434720567242</v>
      </c>
      <c r="U31" s="289">
        <v>2.3453783207238525</v>
      </c>
      <c r="V31" s="289">
        <v>2.46091316939098</v>
      </c>
      <c r="Y31" s="65"/>
    </row>
    <row r="32" spans="1:25" ht="14.5" customHeight="1" x14ac:dyDescent="0.35">
      <c r="A32" s="66"/>
      <c r="B32" s="349"/>
      <c r="C32" s="349"/>
      <c r="E32" s="152">
        <f>SROI!C102</f>
        <v>5.5117630074106332</v>
      </c>
      <c r="F32" s="287">
        <v>0</v>
      </c>
      <c r="G32" s="287">
        <v>0.05</v>
      </c>
      <c r="H32" s="95">
        <v>0.1</v>
      </c>
      <c r="I32" s="287">
        <v>0.125</v>
      </c>
      <c r="J32" s="287">
        <v>0.15</v>
      </c>
      <c r="K32" s="287">
        <v>0.17499999999999999</v>
      </c>
      <c r="L32" s="287">
        <v>0.2</v>
      </c>
      <c r="N32" s="332"/>
      <c r="O32" s="290">
        <v>0.6</v>
      </c>
      <c r="P32" s="289">
        <v>2.0117720644297838</v>
      </c>
      <c r="Q32" s="289">
        <v>2.1883239098573051</v>
      </c>
      <c r="R32" s="289">
        <v>2.3648757552848259</v>
      </c>
      <c r="S32" s="289">
        <v>2.5414276007123475</v>
      </c>
      <c r="T32" s="289">
        <v>2.7179794461398692</v>
      </c>
      <c r="U32" s="289">
        <v>2.89453129156739</v>
      </c>
      <c r="V32" s="289">
        <v>3.0710831369949112</v>
      </c>
      <c r="Y32" s="65"/>
    </row>
    <row r="33" spans="1:25" ht="18" customHeight="1" x14ac:dyDescent="0.35">
      <c r="A33" s="66"/>
      <c r="B33" s="349"/>
      <c r="C33" s="349"/>
      <c r="D33" s="332" t="s">
        <v>229</v>
      </c>
      <c r="E33" s="96">
        <v>0</v>
      </c>
      <c r="F33" s="289">
        <f t="dataTable" ref="F33:L40" dt2D="1" dtr="1" r1="C5" r2="C6" ca="1"/>
        <v>8.3552908974762907</v>
      </c>
      <c r="G33" s="289">
        <v>6.7337264244789816</v>
      </c>
      <c r="H33" s="151">
        <v>5.5117630074106332</v>
      </c>
      <c r="I33" s="289">
        <v>5.0127439381302246</v>
      </c>
      <c r="J33" s="289">
        <v>4.5734712333246961</v>
      </c>
      <c r="K33" s="289">
        <v>4.1851842172207609</v>
      </c>
      <c r="L33" s="289">
        <v>3.8406052965608994</v>
      </c>
      <c r="N33" s="332"/>
      <c r="O33" s="290">
        <v>0.7</v>
      </c>
      <c r="P33" s="289">
        <v>2.2558400514713557</v>
      </c>
      <c r="Q33" s="289">
        <v>2.4934088936592702</v>
      </c>
      <c r="R33" s="289">
        <v>2.7309777358471847</v>
      </c>
      <c r="S33" s="289">
        <v>2.9685465780350979</v>
      </c>
      <c r="T33" s="289">
        <v>3.2061154202230129</v>
      </c>
      <c r="U33" s="289">
        <v>3.4436842624109265</v>
      </c>
      <c r="V33" s="289">
        <v>3.6812531045988401</v>
      </c>
      <c r="Y33" s="65"/>
    </row>
    <row r="34" spans="1:25" x14ac:dyDescent="0.35">
      <c r="A34" s="66"/>
      <c r="B34" s="349"/>
      <c r="C34" s="349"/>
      <c r="D34" s="332"/>
      <c r="E34" s="292">
        <v>2.5000000000000001E-2</v>
      </c>
      <c r="F34" s="289">
        <v>8.5424164231647897</v>
      </c>
      <c r="G34" s="289">
        <v>6.8859559546688045</v>
      </c>
      <c r="H34" s="289">
        <v>5.6374194421142736</v>
      </c>
      <c r="I34" s="289">
        <v>5.1274675581637128</v>
      </c>
      <c r="J34" s="289">
        <v>4.6785268144969292</v>
      </c>
      <c r="K34" s="289">
        <v>4.2816562790231982</v>
      </c>
      <c r="L34" s="289">
        <v>3.9294278566606189</v>
      </c>
      <c r="N34" s="332"/>
      <c r="O34" s="290">
        <v>0.8</v>
      </c>
      <c r="P34" s="289">
        <v>2.499908038512928</v>
      </c>
      <c r="Q34" s="289">
        <v>2.7984938774612353</v>
      </c>
      <c r="R34" s="289">
        <v>3.0970797164095427</v>
      </c>
      <c r="S34" s="289">
        <v>3.3956655553578501</v>
      </c>
      <c r="T34" s="289">
        <v>3.694251394306157</v>
      </c>
      <c r="U34" s="289">
        <v>3.9928372332544644</v>
      </c>
      <c r="V34" s="289">
        <v>4.2914230722027717</v>
      </c>
      <c r="Y34" s="65"/>
    </row>
    <row r="35" spans="1:25" x14ac:dyDescent="0.35">
      <c r="A35" s="66"/>
      <c r="B35" s="349"/>
      <c r="C35" s="349"/>
      <c r="D35" s="332"/>
      <c r="E35" s="292">
        <v>0.05</v>
      </c>
      <c r="F35" s="289">
        <v>8.7285935966742993</v>
      </c>
      <c r="G35" s="289">
        <v>7.0374763477015438</v>
      </c>
      <c r="H35" s="289">
        <v>5.7625371078792007</v>
      </c>
      <c r="I35" s="289">
        <v>5.2417190185031632</v>
      </c>
      <c r="J35" s="289">
        <v>4.7831672271339434</v>
      </c>
      <c r="K35" s="289">
        <v>4.3777621331495133</v>
      </c>
      <c r="L35" s="289">
        <v>4.0179264345195733</v>
      </c>
      <c r="N35" s="332"/>
      <c r="O35" s="290">
        <v>0.9</v>
      </c>
      <c r="P35" s="289">
        <v>2.7439760255545003</v>
      </c>
      <c r="Q35" s="289">
        <v>3.1035788612632005</v>
      </c>
      <c r="R35" s="289">
        <v>3.4631816969719011</v>
      </c>
      <c r="S35" s="289">
        <v>3.8227845326806</v>
      </c>
      <c r="T35" s="289">
        <v>4.1823873683893016</v>
      </c>
      <c r="U35" s="289">
        <v>4.5419902040980027</v>
      </c>
      <c r="V35" s="289">
        <v>4.901593039806702</v>
      </c>
      <c r="Y35" s="65"/>
    </row>
    <row r="36" spans="1:25" x14ac:dyDescent="0.35">
      <c r="A36" s="66"/>
      <c r="B36" s="349"/>
      <c r="C36" s="349"/>
      <c r="D36" s="332"/>
      <c r="E36" s="292">
        <v>0.1</v>
      </c>
      <c r="F36" s="289">
        <v>9.098131579238375</v>
      </c>
      <c r="G36" s="289">
        <v>7.3384094508124207</v>
      </c>
      <c r="H36" s="289">
        <v>6.0111699336865057</v>
      </c>
      <c r="I36" s="289">
        <v>5.4688170717116238</v>
      </c>
      <c r="J36" s="289">
        <v>4.9912123522647613</v>
      </c>
      <c r="K36" s="289">
        <v>4.568883527571951</v>
      </c>
      <c r="L36" s="289">
        <v>4.1939587081408831</v>
      </c>
      <c r="N36" s="332"/>
      <c r="O36" s="94">
        <v>1</v>
      </c>
      <c r="P36" s="289">
        <v>2.9880440125960721</v>
      </c>
      <c r="Q36" s="289">
        <v>3.4086638450651656</v>
      </c>
      <c r="R36" s="289">
        <v>3.8292836775342591</v>
      </c>
      <c r="S36" s="289">
        <v>4.2499035100033513</v>
      </c>
      <c r="T36" s="289">
        <v>4.6705233424724462</v>
      </c>
      <c r="U36" s="289">
        <v>5.0911431749415392</v>
      </c>
      <c r="V36" s="151">
        <v>5.5117630074106332</v>
      </c>
      <c r="Y36" s="65"/>
    </row>
    <row r="37" spans="1:25" x14ac:dyDescent="0.35">
      <c r="A37" s="66"/>
      <c r="B37" s="349"/>
      <c r="C37" s="349"/>
      <c r="D37" s="332"/>
      <c r="E37" s="292">
        <v>0.125</v>
      </c>
      <c r="F37" s="289">
        <v>9.2815065539409645</v>
      </c>
      <c r="G37" s="289">
        <v>7.4878319110683105</v>
      </c>
      <c r="H37" s="289">
        <v>6.1346919207807886</v>
      </c>
      <c r="I37" s="289">
        <v>5.5816694110166445</v>
      </c>
      <c r="J37" s="289">
        <v>5.0946219193375395</v>
      </c>
      <c r="K37" s="289">
        <v>4.6639031832632742</v>
      </c>
      <c r="L37" s="289">
        <v>4.2814959041808898</v>
      </c>
      <c r="Y37" s="65"/>
    </row>
    <row r="38" spans="1:25" x14ac:dyDescent="0.35">
      <c r="A38" s="66"/>
      <c r="B38" s="349"/>
      <c r="C38" s="349"/>
      <c r="D38" s="332"/>
      <c r="E38" s="82">
        <v>0.15</v>
      </c>
      <c r="F38" s="289">
        <v>9.4639615095707246</v>
      </c>
      <c r="G38" s="289">
        <v>7.6365647355756625</v>
      </c>
      <c r="H38" s="289">
        <v>6.2576887936650509</v>
      </c>
      <c r="I38" s="289">
        <v>5.6940610839843568</v>
      </c>
      <c r="J38" s="289">
        <v>5.1976260274106538</v>
      </c>
      <c r="K38" s="289">
        <v>4.758564862364266</v>
      </c>
      <c r="L38" s="289">
        <v>4.3687161187674404</v>
      </c>
      <c r="Y38" s="65"/>
    </row>
    <row r="39" spans="1:25" x14ac:dyDescent="0.35">
      <c r="A39" s="66"/>
      <c r="B39" s="349"/>
      <c r="C39" s="349"/>
      <c r="D39" s="332"/>
      <c r="E39" s="292">
        <v>0.17499999999999999</v>
      </c>
      <c r="F39" s="289">
        <v>9.645503352607653</v>
      </c>
      <c r="G39" s="289">
        <v>7.784612687699398</v>
      </c>
      <c r="H39" s="289">
        <v>6.3801638937693843</v>
      </c>
      <c r="I39" s="289">
        <v>5.8059949055483333</v>
      </c>
      <c r="J39" s="289">
        <v>5.3002270564670662</v>
      </c>
      <c r="K39" s="289">
        <v>4.8528705840303559</v>
      </c>
      <c r="L39" s="289">
        <v>4.4556210705239714</v>
      </c>
      <c r="Y39" s="65"/>
    </row>
    <row r="40" spans="1:25" x14ac:dyDescent="0.35">
      <c r="A40" s="66"/>
      <c r="B40" s="349"/>
      <c r="C40" s="349"/>
      <c r="D40" s="332"/>
      <c r="E40" s="292">
        <v>0.2</v>
      </c>
      <c r="F40" s="289">
        <v>9.8261389205760654</v>
      </c>
      <c r="G40" s="289">
        <v>7.9319804870373112</v>
      </c>
      <c r="H40" s="289">
        <v>6.502120534234094</v>
      </c>
      <c r="I40" s="289">
        <v>5.9174736677543045</v>
      </c>
      <c r="J40" s="289">
        <v>5.4024273678992589</v>
      </c>
      <c r="K40" s="289">
        <v>4.9468223522601615</v>
      </c>
      <c r="L40" s="289">
        <v>4.5422124656721952</v>
      </c>
      <c r="Y40" s="65"/>
    </row>
    <row r="41" spans="1:25" ht="15" customHeight="1" x14ac:dyDescent="0.35">
      <c r="A41" s="66"/>
      <c r="B41" s="349"/>
      <c r="C41" s="349"/>
      <c r="Y41" s="65"/>
    </row>
    <row r="42" spans="1:25" x14ac:dyDescent="0.35">
      <c r="A42" s="66"/>
      <c r="B42" s="349"/>
      <c r="C42" s="349"/>
      <c r="D42" s="236"/>
      <c r="E42" s="236"/>
      <c r="F42" s="348" t="s">
        <v>230</v>
      </c>
      <c r="G42" s="348"/>
      <c r="H42" s="348"/>
      <c r="I42" s="348"/>
      <c r="J42" s="348"/>
      <c r="K42" s="348"/>
      <c r="L42" s="348"/>
      <c r="Y42" s="65"/>
    </row>
    <row r="43" spans="1:25" ht="22.5" customHeight="1" x14ac:dyDescent="0.35">
      <c r="A43" s="66"/>
      <c r="B43" s="349"/>
      <c r="C43" s="349"/>
      <c r="E43" s="153">
        <f>SROI!C102</f>
        <v>5.5117630074106332</v>
      </c>
      <c r="F43" s="288">
        <v>0</v>
      </c>
      <c r="G43" s="288">
        <v>0.05</v>
      </c>
      <c r="H43" s="93">
        <v>0.1</v>
      </c>
      <c r="I43" s="288">
        <v>0.15</v>
      </c>
      <c r="J43" s="288">
        <v>0.2</v>
      </c>
      <c r="K43" s="288">
        <v>0.25</v>
      </c>
      <c r="L43" s="288">
        <v>0.3</v>
      </c>
      <c r="Y43" s="65"/>
    </row>
    <row r="44" spans="1:25" x14ac:dyDescent="0.35">
      <c r="A44" s="66"/>
      <c r="B44" s="349"/>
      <c r="C44" s="349"/>
      <c r="D44" s="332" t="s">
        <v>231</v>
      </c>
      <c r="E44" s="290">
        <v>0</v>
      </c>
      <c r="F44" s="291">
        <f t="dataTable" ref="F44:L50" dt2D="1" dtr="1" r1="C10" r2="C9" ca="1"/>
        <v>4.8124999346247366</v>
      </c>
      <c r="G44" s="291">
        <v>4.8886260428550816</v>
      </c>
      <c r="H44" s="291">
        <v>4.9647521510854258</v>
      </c>
      <c r="I44" s="291">
        <v>5.0408782593157699</v>
      </c>
      <c r="J44" s="291">
        <v>5.1170043675461141</v>
      </c>
      <c r="K44" s="291">
        <v>5.1931304757764574</v>
      </c>
      <c r="L44" s="291">
        <v>5.2692565840068033</v>
      </c>
      <c r="Y44" s="65"/>
    </row>
    <row r="45" spans="1:25" x14ac:dyDescent="0.35">
      <c r="A45" s="66"/>
      <c r="B45" s="349"/>
      <c r="C45" s="349"/>
      <c r="D45" s="332"/>
      <c r="E45" s="290">
        <v>0.1</v>
      </c>
      <c r="F45" s="291">
        <v>4.8124999346247366</v>
      </c>
      <c r="G45" s="289">
        <v>4.9690688158440821</v>
      </c>
      <c r="H45" s="289">
        <v>5.1256376970634276</v>
      </c>
      <c r="I45" s="289">
        <v>5.2822065782827732</v>
      </c>
      <c r="J45" s="289">
        <v>5.4387754595021178</v>
      </c>
      <c r="K45" s="289">
        <v>5.5953443407214634</v>
      </c>
      <c r="L45" s="289">
        <v>5.751913221940808</v>
      </c>
      <c r="Y45" s="65"/>
    </row>
    <row r="46" spans="1:25" x14ac:dyDescent="0.35">
      <c r="A46" s="66"/>
      <c r="B46" s="349"/>
      <c r="C46" s="349"/>
      <c r="D46" s="332"/>
      <c r="E46" s="290">
        <v>0.25</v>
      </c>
      <c r="F46" s="291">
        <v>4.8124999346247366</v>
      </c>
      <c r="G46" s="289">
        <v>5.0897329753275837</v>
      </c>
      <c r="H46" s="289">
        <v>5.36696601603043</v>
      </c>
      <c r="I46" s="289">
        <v>5.6441990567332772</v>
      </c>
      <c r="J46" s="289">
        <v>5.9214320974361252</v>
      </c>
      <c r="K46" s="289">
        <v>6.1986651381389706</v>
      </c>
      <c r="L46" s="289">
        <v>6.4758981788418186</v>
      </c>
      <c r="Y46" s="65"/>
    </row>
    <row r="47" spans="1:25" x14ac:dyDescent="0.35">
      <c r="A47" s="66"/>
      <c r="B47" s="349"/>
      <c r="C47" s="349"/>
      <c r="D47" s="332"/>
      <c r="E47" s="94">
        <v>0.34</v>
      </c>
      <c r="F47" s="291">
        <v>4.8124999346247366</v>
      </c>
      <c r="G47" s="289">
        <v>5.1621314710176849</v>
      </c>
      <c r="H47" s="151">
        <v>5.5117630074106332</v>
      </c>
      <c r="I47" s="289">
        <v>5.8613945438035797</v>
      </c>
      <c r="J47" s="289">
        <v>6.2110260801965271</v>
      </c>
      <c r="K47" s="289">
        <v>6.5606576165894763</v>
      </c>
      <c r="L47" s="289">
        <v>6.910289152982422</v>
      </c>
      <c r="Y47" s="65"/>
    </row>
    <row r="48" spans="1:25" x14ac:dyDescent="0.35">
      <c r="A48" s="66"/>
      <c r="B48" s="349"/>
      <c r="C48" s="349"/>
      <c r="D48" s="332"/>
      <c r="E48" s="290">
        <v>0.4</v>
      </c>
      <c r="F48" s="291">
        <v>4.8124999346247366</v>
      </c>
      <c r="G48" s="289">
        <v>5.2103971348110854</v>
      </c>
      <c r="H48" s="289">
        <v>5.6082943349974341</v>
      </c>
      <c r="I48" s="289">
        <v>6.006191535183782</v>
      </c>
      <c r="J48" s="289">
        <v>6.4040887353701299</v>
      </c>
      <c r="K48" s="289">
        <v>6.8019859355564796</v>
      </c>
      <c r="L48" s="289">
        <v>7.1998831357428275</v>
      </c>
      <c r="Y48" s="65"/>
    </row>
    <row r="49" spans="1:25" x14ac:dyDescent="0.35">
      <c r="A49" s="66"/>
      <c r="B49" s="349"/>
      <c r="C49" s="349"/>
      <c r="D49" s="332"/>
      <c r="E49" s="290">
        <v>0.5</v>
      </c>
      <c r="F49" s="291">
        <v>4.8124999346247366</v>
      </c>
      <c r="G49" s="289">
        <v>5.2908399078000867</v>
      </c>
      <c r="H49" s="289">
        <v>5.769179880975436</v>
      </c>
      <c r="I49" s="289">
        <v>6.2475198541507853</v>
      </c>
      <c r="J49" s="289">
        <v>6.7258598273261354</v>
      </c>
      <c r="K49" s="289">
        <v>7.204199800501482</v>
      </c>
      <c r="L49" s="289">
        <v>7.6825397736768322</v>
      </c>
      <c r="Y49" s="65"/>
    </row>
    <row r="50" spans="1:25" x14ac:dyDescent="0.35">
      <c r="A50" s="66"/>
      <c r="B50" s="349"/>
      <c r="C50" s="349"/>
      <c r="D50" s="332"/>
      <c r="E50" s="290">
        <v>0.6</v>
      </c>
      <c r="F50" s="291">
        <v>4.8124999346247366</v>
      </c>
      <c r="G50" s="289">
        <v>5.3712826807890863</v>
      </c>
      <c r="H50" s="289">
        <v>5.9300654269534379</v>
      </c>
      <c r="I50" s="289">
        <v>6.4888481731177876</v>
      </c>
      <c r="J50" s="289">
        <v>7.0476309192821383</v>
      </c>
      <c r="K50" s="289">
        <v>7.6064136654464889</v>
      </c>
      <c r="L50" s="289">
        <v>8.1651964116108395</v>
      </c>
      <c r="Y50" s="65"/>
    </row>
    <row r="51" spans="1:25" ht="48" customHeight="1" x14ac:dyDescent="0.35">
      <c r="A51" s="66"/>
      <c r="B51" s="349"/>
      <c r="C51" s="349"/>
      <c r="Y51" s="65"/>
    </row>
    <row r="52" spans="1:25" ht="15" customHeight="1" x14ac:dyDescent="0.35">
      <c r="A52" s="66"/>
      <c r="C52" s="14"/>
      <c r="Y52" s="65"/>
    </row>
    <row r="53" spans="1:25" x14ac:dyDescent="0.35">
      <c r="A53" s="71"/>
      <c r="B53" s="213" t="s">
        <v>73</v>
      </c>
      <c r="C53" s="75"/>
      <c r="D53" s="72"/>
      <c r="E53" s="350" t="s">
        <v>232</v>
      </c>
      <c r="F53" s="350"/>
      <c r="G53" s="350"/>
      <c r="H53" s="350"/>
      <c r="I53" s="350"/>
      <c r="J53" s="350"/>
      <c r="K53" s="350"/>
      <c r="L53" s="350"/>
      <c r="M53" s="72"/>
      <c r="N53" s="72"/>
      <c r="O53" s="72"/>
      <c r="P53" s="72"/>
      <c r="Q53" s="72"/>
      <c r="R53" s="72"/>
      <c r="S53" s="72"/>
      <c r="T53" s="72"/>
      <c r="U53" s="72"/>
      <c r="V53" s="72"/>
      <c r="W53" s="72"/>
      <c r="X53" s="72"/>
      <c r="Y53" s="73"/>
    </row>
    <row r="54" spans="1:25" x14ac:dyDescent="0.35">
      <c r="C54" s="14"/>
    </row>
  </sheetData>
  <mergeCells count="15">
    <mergeCell ref="B17:C51"/>
    <mergeCell ref="E53:L53"/>
    <mergeCell ref="F17:L17"/>
    <mergeCell ref="D44:D50"/>
    <mergeCell ref="D19:D28"/>
    <mergeCell ref="F31:L31"/>
    <mergeCell ref="F42:L42"/>
    <mergeCell ref="G4:L4"/>
    <mergeCell ref="G5:L5"/>
    <mergeCell ref="G6:L6"/>
    <mergeCell ref="D33:D40"/>
    <mergeCell ref="P17:V17"/>
    <mergeCell ref="N19:N25"/>
    <mergeCell ref="N30:N36"/>
    <mergeCell ref="P28:V2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0956-EB7E-46D4-8791-78CE065D8785}">
  <dimension ref="A1"/>
  <sheetViews>
    <sheetView showGridLines="0" topLeftCell="A28" zoomScaleNormal="100" workbookViewId="0">
      <selection activeCell="R52" sqref="R52"/>
    </sheetView>
  </sheetViews>
  <sheetFormatPr baseColWidth="10" defaultColWidth="9.45312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2.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3.xml><?xml version="1.0" encoding="utf-8"?>
<ds:datastoreItem xmlns:ds="http://schemas.openxmlformats.org/officeDocument/2006/customXml" ds:itemID="{603D49C6-CA81-492A-863B-A86D9817F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Summary</vt:lpstr>
      <vt:lpstr>ToC</vt:lpstr>
      <vt:lpstr>Model input</vt:lpstr>
      <vt:lpstr>SROI</vt:lpstr>
      <vt:lpstr>Sensitivity Analysis</vt:lpstr>
      <vt:lpstr>Info</vt:lpstr>
      <vt:lpstr>SROI!Druckbereich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2026-08-13T07:51:13Z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049c34937107443b872cd855936d56cb</vt:lpwstr>
  </property>
</Properties>
</file>