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drawings/drawing3.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defaultThemeVersion="166925"/>
  <mc:AlternateContent xmlns:mc="http://schemas.openxmlformats.org/markup-compatibility/2006">
    <mc:Choice Requires="x15">
      <x15ac:absPath xmlns:x15ac="http://schemas.microsoft.com/office/spreadsheetml/2010/11/ac" url="https://herewegrow.sharepoint.com/sites/herewegrow.org/Freigegebene Dokumente/01 Projekte/01 Laufend/D_RTV01/06 MEL/03 SROI/"/>
    </mc:Choice>
  </mc:AlternateContent>
  <xr:revisionPtr revIDLastSave="36" documentId="8_{A19DE977-5F36-4396-8A12-2171D346B1CB}" xr6:coauthVersionLast="47" xr6:coauthVersionMax="47" xr10:uidLastSave="{367DA269-989A-4486-98DE-94B007BC0512}"/>
  <bookViews>
    <workbookView xWindow="-108" yWindow="-108" windowWidth="23256" windowHeight="12456" firstSheet="3" activeTab="3" xr2:uid="{D727DE2A-A20A-4F61-A634-FF4E86980CF5}"/>
  </bookViews>
  <sheets>
    <sheet name="Summary" sheetId="7" r:id="rId1"/>
    <sheet name="ToC" sheetId="8" r:id="rId2"/>
    <sheet name="Model input" sheetId="5" r:id="rId3"/>
    <sheet name="SROI" sheetId="2" r:id="rId4"/>
    <sheet name="Sensitivity analysis" sheetId="12" r:id="rId5"/>
    <sheet name="Info" sheetId="10" r:id="rId6"/>
    <sheet name="Sample characteristics" sheetId="11" r:id="rId7"/>
  </sheets>
  <definedNames>
    <definedName name="_xlnm._FilterDatabase" localSheetId="3" hidden="1">SROI!$P$32:$P$32</definedName>
    <definedName name="_xlnm._FilterDatabase" localSheetId="0" hidden="1">Summary!$B$20:$C$23</definedName>
    <definedName name="_xlnm.Print_Area" localSheetId="4">'Sensitivity analysis'!$A$1:$K$50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 i="2" l="1"/>
  <c r="C27" i="7"/>
  <c r="D26" i="5"/>
  <c r="C26" i="7" l="1"/>
  <c r="B15" i="12"/>
  <c r="C12" i="5"/>
  <c r="F33" i="2" l="1"/>
  <c r="E33" i="2"/>
  <c r="D33" i="2"/>
  <c r="C13" i="7" s="1"/>
  <c r="C17" i="5" l="1"/>
  <c r="C16" i="5"/>
  <c r="D4" i="2" l="1"/>
  <c r="C4" i="2"/>
  <c r="E4" i="2"/>
  <c r="D5" i="2"/>
  <c r="C5" i="2" l="1"/>
  <c r="F4" i="2"/>
  <c r="E5" i="2"/>
  <c r="D25" i="5"/>
  <c r="D24" i="5"/>
  <c r="C24" i="5"/>
  <c r="G4" i="2" l="1"/>
  <c r="F5" i="2"/>
  <c r="G23" i="5"/>
  <c r="C26" i="5"/>
  <c r="C25" i="5"/>
  <c r="E13" i="2" s="1"/>
  <c r="D23" i="5"/>
  <c r="C23" i="5"/>
  <c r="D13" i="2" s="1"/>
  <c r="D22" i="5"/>
  <c r="C22" i="5"/>
  <c r="C21" i="5"/>
  <c r="C27" i="5" l="1"/>
  <c r="C13" i="2"/>
  <c r="H4" i="2"/>
  <c r="H5" i="2" s="1"/>
  <c r="G5" i="2"/>
  <c r="G21" i="5"/>
  <c r="D27" i="5"/>
  <c r="G24" i="5"/>
  <c r="G22" i="5"/>
  <c r="G27" i="5" l="1"/>
  <c r="C14" i="7"/>
  <c r="G26" i="5"/>
  <c r="G25" i="5"/>
  <c r="H23" i="5" s="1"/>
  <c r="N14" i="2"/>
  <c r="C8" i="11"/>
  <c r="C7" i="11"/>
  <c r="C6" i="11"/>
  <c r="C5" i="11"/>
  <c r="C4" i="11"/>
  <c r="D34" i="2"/>
  <c r="D35" i="2" l="1"/>
  <c r="D36" i="2" s="1"/>
  <c r="H21" i="5"/>
  <c r="H24" i="5"/>
  <c r="H22" i="5"/>
  <c r="H25" i="5"/>
  <c r="C6" i="2"/>
  <c r="F34" i="2"/>
  <c r="E34" i="2"/>
  <c r="C40" i="2" l="1"/>
  <c r="F35" i="2"/>
  <c r="F36" i="2" s="1"/>
  <c r="E35" i="2"/>
  <c r="E36" i="2" s="1"/>
  <c r="F6" i="2"/>
  <c r="M14" i="2"/>
  <c r="N15" i="2" s="1"/>
  <c r="L14" i="2"/>
  <c r="M15" i="2" s="1"/>
  <c r="N16" i="2" s="1"/>
  <c r="K14" i="2"/>
  <c r="L15" i="2" s="1"/>
  <c r="M16" i="2" s="1"/>
  <c r="N17" i="2" s="1"/>
  <c r="J14" i="2"/>
  <c r="K15" i="2" s="1"/>
  <c r="L16" i="2" s="1"/>
  <c r="M17" i="2" s="1"/>
  <c r="N18" i="2" s="1"/>
  <c r="I14" i="2"/>
  <c r="J15" i="2" s="1"/>
  <c r="K16" i="2" s="1"/>
  <c r="L17" i="2" s="1"/>
  <c r="M18" i="2" s="1"/>
  <c r="N19" i="2" s="1"/>
  <c r="H14" i="2"/>
  <c r="I15" i="2" s="1"/>
  <c r="J16" i="2" s="1"/>
  <c r="K17" i="2" s="1"/>
  <c r="L18" i="2" s="1"/>
  <c r="M19" i="2" s="1"/>
  <c r="N20" i="2" s="1"/>
  <c r="G14" i="2"/>
  <c r="H15" i="2" s="1"/>
  <c r="I16" i="2" s="1"/>
  <c r="J17" i="2" s="1"/>
  <c r="K18" i="2" s="1"/>
  <c r="L19" i="2" s="1"/>
  <c r="M20" i="2" s="1"/>
  <c r="N21" i="2" s="1"/>
  <c r="H36" i="2" l="1"/>
  <c r="C41" i="2"/>
  <c r="G51" i="7" s="1"/>
  <c r="C38" i="2"/>
  <c r="C39" i="2" s="1"/>
  <c r="F14" i="2"/>
  <c r="E14" i="2"/>
  <c r="F15" i="2" s="1"/>
  <c r="G16" i="2" s="1"/>
  <c r="H17" i="2" s="1"/>
  <c r="I18" i="2" s="1"/>
  <c r="J19" i="2" s="1"/>
  <c r="K20" i="2" s="1"/>
  <c r="L21" i="2" s="1"/>
  <c r="M22" i="2" s="1"/>
  <c r="D14" i="2"/>
  <c r="E15" i="2" s="1"/>
  <c r="F16" i="2" s="1"/>
  <c r="G17" i="2" s="1"/>
  <c r="H18" i="2" s="1"/>
  <c r="I19" i="2" s="1"/>
  <c r="J20" i="2" s="1"/>
  <c r="K21" i="2" s="1"/>
  <c r="L22" i="2" s="1"/>
  <c r="E6" i="2"/>
  <c r="E7" i="2" s="1"/>
  <c r="D6" i="2"/>
  <c r="D7" i="2" s="1"/>
  <c r="C7" i="2"/>
  <c r="C27" i="2" s="1"/>
  <c r="E27" i="2" l="1"/>
  <c r="D27" i="2"/>
  <c r="G15" i="2"/>
  <c r="F7" i="2"/>
  <c r="F27" i="2" s="1"/>
  <c r="H16" i="2" l="1"/>
  <c r="I4" i="2" l="1"/>
  <c r="I17" i="2"/>
  <c r="G6" i="2"/>
  <c r="G7" i="2" s="1"/>
  <c r="G27" i="2" s="1"/>
  <c r="J4" i="2" l="1"/>
  <c r="J5" i="2" s="1"/>
  <c r="I5" i="2"/>
  <c r="H6" i="2"/>
  <c r="H7" i="2" s="1"/>
  <c r="H27" i="2" s="1"/>
  <c r="J18" i="2"/>
  <c r="I6" i="2" l="1"/>
  <c r="I7" i="2" s="1"/>
  <c r="I27" i="2" s="1"/>
  <c r="K19" i="2"/>
  <c r="J6" i="2" l="1"/>
  <c r="J7" i="2" s="1"/>
  <c r="J27" i="2" s="1"/>
  <c r="K4" i="2"/>
  <c r="K5" i="2" s="1"/>
  <c r="L20" i="2"/>
  <c r="M21" i="2" s="1"/>
  <c r="N22" i="2" s="1"/>
  <c r="L4" i="2" l="1"/>
  <c r="C50" i="2" s="1"/>
  <c r="K6" i="2"/>
  <c r="K7" i="2" s="1"/>
  <c r="K27" i="2" s="1"/>
  <c r="L5" i="2" l="1"/>
  <c r="L6" i="2" s="1"/>
  <c r="L7" i="2" s="1"/>
  <c r="M27" i="2" l="1"/>
  <c r="N27" i="2"/>
  <c r="L27" i="2"/>
  <c r="C46" i="2" l="1"/>
  <c r="C48" i="2" s="1"/>
  <c r="G50" i="7" l="1"/>
  <c r="C50" i="7"/>
  <c r="C54" i="2"/>
  <c r="C20" i="7" l="1"/>
  <c r="C11" i="12"/>
  <c r="C47" i="2"/>
  <c r="G52" i="7" s="1"/>
  <c r="C42" i="2"/>
  <c r="F43" i="12" l="1"/>
  <c r="E30" i="12"/>
  <c r="C51" i="7"/>
  <c r="C49" i="2"/>
  <c r="C5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tc={3A67B379-4401-43CD-97B5-4B9D71C2BA62}</author>
    <author>tc={8672ECC5-8A66-4F8C-946C-5B064D68DEB0}</author>
    <author>tc={64731E25-6E09-41A3-ADC2-B6DEFD163168}</author>
    <author>tc={6856E58B-0619-498F-8CDB-1E34D6FE3864}</author>
  </authors>
  <commentList>
    <comment ref="B25" authorId="0" shapeId="0" xr:uid="{3A67B379-4401-43CD-97B5-4B9D71C2BA62}">
      <text>
        <t>[Threaded comment]
Your version of Excel allows you to read this threaded comment; however, any edits to it will get removed if the file is opened in a newer version of Excel. Learn more: https://go.microsoft.com/fwlink/?linkid=870924
Comment:
    Lower- and upper-bound do not reflect the grid‘s minimum and maximum from the sensitivity analysis. They rather state plaussible results using more conservative or optimistic assumptions. We do not use minimum and maximum for the analysis as this would considerably enlarge the SROI range, making these figures less useful.</t>
      </text>
    </comment>
    <comment ref="B26" authorId="1" shapeId="0" xr:uid="{8672ECC5-8A66-4F8C-946C-5B064D68DEB0}">
      <text>
        <t>[Threaded comment]
Your version of Excel allows you to read this threaded comment; however, any edits to it will get removed if the file is opened in a newer version of Excel. Learn more: https://go.microsoft.com/fwlink/?linkid=870924
Comment:
    25% increase of median baseline income. Median baseline income=675,000 UGX. As the 675,000 UGX are measured income, we assume a 25% increase as measured in the Mahmud &amp; Riley RCT.</t>
      </text>
    </comment>
    <comment ref="B27" authorId="2" shapeId="0" xr:uid="{64731E25-6E09-41A3-ADC2-B6DEFD163168}">
      <text>
        <t>[Threaded comment]
Your version of Excel allows you to read this threaded comment; however, any edits to it will get removed if the file is opened in a newer version of Excel. Learn more: https://go.microsoft.com/fwlink/?linkid=870924
Comment:
    Laterite median household consumption at baseline (676,441,9 UGX) + 15% treatment effect</t>
      </text>
    </comment>
    <comment ref="C33" authorId="3" shapeId="0" xr:uid="{6856E58B-0619-498F-8CDB-1E34D6FE3864}">
      <text>
        <t xml:space="preserve">[Threaded comment]
Your version of Excel allows you to read this threaded comment; however, any edits to it will get removed if the file is opened in a newer version of Excel. Learn more: https://go.microsoft.com/fwlink/?linkid=870924
Comment:
    For more details on the rapid consumption module see:
Pape, U., &amp; Wollburg, P. (2019). Estimation of Poverty in Somalia Using Innovative Methodologies (Policy Research Working Paper No. 8735). World Bank. https://hdl.handle.net/10986/31267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tc={79A421FA-D479-4B42-BFE1-AE165092C2BE}</author>
    <author>tc={F585A4DA-8822-48C7-A518-984395A84869}</author>
    <author>tc={4FB4255C-0E61-4F31-9DC1-93ADD15F81CD}</author>
  </authors>
  <commentList>
    <comment ref="B5" authorId="0" shapeId="0" xr:uid="{79A421FA-D479-4B42-BFE1-AE165092C2BE}">
      <text>
        <t>[Threaded comment]
Your version of Excel allows you to read this threaded comment; however, any edits to it will get removed if the file is opened in a newer version of Excel. Learn more: https://go.microsoft.com/fwlink/?linkid=870924
Comment:
    We choose as year of analysis 2021 to be able to allow for comparisons with latest international poverty lines.</t>
      </text>
    </comment>
    <comment ref="C21" authorId="1" shapeId="0" xr:uid="{F585A4DA-8822-48C7-A518-984395A84869}">
      <text>
        <t>[Threaded comment]
Your version of Excel allows you to read this threaded comment; however, any edits to it will get removed if the file is opened in a newer version of Excel. Learn more: https://go.microsoft.com/fwlink/?linkid=870924
Comment:
    RTV comitted in proposal to reach 27,600 households but specified target reach per cohort on individual level. As SROI is calculated at hh level, we divide this by 5 to obtain the planned number of households reached per cycle. The sum adds to the 27,600 households specified in the proposal.</t>
      </text>
    </comment>
    <comment ref="C27" authorId="2" shapeId="0" xr:uid="{4FB4255C-0E61-4F31-9DC1-93ADD15F81CD}">
      <text>
        <t>[Threaded comment]
Your version of Excel allows you to read this threaded comment; however, any edits to it will get removed if the file is opened in a newer version of Excel. Learn more: https://go.microsoft.com/fwlink/?linkid=870924
Comment:
    The forecast SROI uses the number of planned households. Updated SROI calculation in the beginning of 2027 (after publication of midline results) will include actual number of households reached.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tc={32EA18E6-593B-4B0D-B078-A23475F328B1}</author>
    <author>tc={56FF7E33-02E3-4E17-AE3B-E07D47EEDB9C}</author>
    <author>tc={8763484B-5D12-4349-A25E-5263762DB0A4}</author>
    <author>tc={71939262-FB6A-46E5-AE48-E7C378500A76}</author>
    <author>tc={07B50514-CC18-48F5-8ABA-8CB55B50EF3D}</author>
  </authors>
  <commentList>
    <comment ref="B4" authorId="0" shapeId="0" xr:uid="{32EA18E6-593B-4B0D-B078-A23475F328B1}">
      <text>
        <t>[Threaded comment]
Your version of Excel allows you to read this threaded comment; however, any edits to it will get removed if the file is opened in a newer version of Excel. Learn more: https://go.microsoft.com/fwlink/?linkid=870924
Comment:
    We assume 2% income increase in Yr 1, 8% in Yr 2 and 10% in Yr 3. We treat this impact as real percentage gains in consumption relative to baseline.</t>
      </text>
    </comment>
    <comment ref="F4" authorId="1" shapeId="0" xr:uid="{56FF7E33-02E3-4E17-AE3B-E07D47EEDB9C}">
      <text>
        <t>[Threaded comment]
Your version of Excel allows you to read this threaded comment; however, any edits to it will get removed if the file is opened in a newer version of Excel. Learn more: https://go.microsoft.com/fwlink/?linkid=870924
Comment:
    Given Uganda graduation follow-ups show continued improvement through year 5 (https://villageenterprise.org/wp-content/uploads/2022/11/Village-Enterprise-Longitudinal-Study-Report.pdf) we assume income gains to grow by 3% real per year, compounding until Yr 7. From Yr 7 onwards, income gains are held constant.</t>
      </text>
    </comment>
    <comment ref="G32" authorId="2" shapeId="0" xr:uid="{8763484B-5D12-4349-A25E-5263762DB0A4}">
      <text>
        <t xml:space="preserve">[Threaded comment]
Your version of Excel allows you to read this threaded comment; however, any edits to it will get removed if the file is opened in a newer version of Excel. Learn more: https://go.microsoft.com/fwlink/?linkid=870924
Comment:
    We extend costs beyond HWG commitment to reflect the full costs for all 27,600 hh  to run through the full programm (2 years) </t>
      </text>
    </comment>
    <comment ref="G36" authorId="3" shapeId="0" xr:uid="{71939262-FB6A-46E5-AE48-E7C378500A76}">
      <text>
        <t>[Threaded comment]
Your version of Excel allows you to read this threaded comment; however, any edits to it will get removed if the file is opened in a newer version of Excel. Learn more: https://go.microsoft.com/fwlink/?linkid=870924
Comment:
    We likely overestimate program costs here because the largest share of program costs ocurr during the first 6 months of programming.</t>
      </text>
    </comment>
    <comment ref="B50" authorId="4" shapeId="0" xr:uid="{07B50514-CC18-48F5-8ABA-8CB55B50EF3D}">
      <text>
        <t xml:space="preserve">[Threaded comment]
Your version of Excel allows you to read this threaded comment; however, any edits to it will get removed if the file is opened in a newer version of Excel. Learn more: https://go.microsoft.com/fwlink/?linkid=870924
Comment:
    Compared to median baseline household consumption expenditure.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tc={B0125C43-3908-4881-80F0-A4CDC43E6DEE}</author>
  </authors>
  <commentList>
    <comment ref="B54" authorId="0" shapeId="0" xr:uid="{B0125C43-3908-4881-80F0-A4CDC43E6DEE}">
      <text>
        <t>[Threaded comment]
Your version of Excel allows you to read this threaded comment; however, any edits to it will get removed if the file is opened in a newer version of Excel. Learn more: https://go.microsoft.com/fwlink/?linkid=870924
Comment:
    Actual hh reach figures as well as changes to the budget will be incorporated in the base case SROI specification after publication of the midline results in the beginning of 2027.</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tc={750AFB2B-E88E-4513-A75C-F8A926D60E61}</author>
    <author>tc={85951B4D-4761-40C5-B025-4A1B0EC7CF4F}</author>
    <author>tc={3FF5419C-5210-41F0-8F9A-EB140B64A2D7}</author>
    <author>tc={7FA41055-E060-41E9-A403-2F97FCDFC0B9}</author>
    <author>tc={03038E9A-2F84-4301-87E9-AB51CCDB5060}</author>
    <author>tc={7CC1B9D2-DD30-4816-A8F7-C532D8B39557}</author>
    <author>tc={1FED4A91-CC6E-4A23-A4CE-D9F39BBC3EF5}</author>
  </authors>
  <commentList>
    <comment ref="B4" authorId="0" shapeId="0" xr:uid="{750AFB2B-E88E-4513-A75C-F8A926D60E61}">
      <text>
        <t>[Threaded comment]
Your version of Excel allows you to read this threaded comment; however, any edits to it will get removed if the file is opened in a newer version of Excel. Learn more: https://go.microsoft.com/fwlink/?linkid=870924
Comment:
    Mean is 1.4 ha.</t>
      </text>
    </comment>
    <comment ref="B5" authorId="1" shapeId="0" xr:uid="{85951B4D-4761-40C5-B025-4A1B0EC7CF4F}">
      <text>
        <t>[Threaded comment]
Your version of Excel allows you to read this threaded comment; however, any edits to it will get removed if the file is opened in a newer version of Excel. Learn more: https://go.microsoft.com/fwlink/?linkid=870924
Comment:
    Mean is 0.5 ha.</t>
      </text>
    </comment>
    <comment ref="B6" authorId="2" shapeId="0" xr:uid="{3FF5419C-5210-41F0-8F9A-EB140B64A2D7}">
      <text>
        <t xml:space="preserve">[Threaded comment]
Your version of Excel allows you to read this threaded comment; however, any edits to it will get removed if the file is opened in a newer version of Excel. Learn more: https://go.microsoft.com/fwlink/?linkid=870924
Comment:
    Mean is 810. If we take coffee trees per ha of farmland with coffee trees present, median is 346 and mean 563 trees. </t>
      </text>
    </comment>
    <comment ref="B7" authorId="3" shapeId="0" xr:uid="{7FA41055-E060-41E9-A403-2F97FCDFC0B9}">
      <text>
        <t>[Threaded comment]
Your version of Excel allows you to read this threaded comment; however, any edits to it will get removed if the file is opened in a newer version of Excel. Learn more: https://go.microsoft.com/fwlink/?linkid=870924
Comment:
    Mean is 3,316 kg/ha.</t>
      </text>
    </comment>
    <comment ref="B8" authorId="4" shapeId="0" xr:uid="{03038E9A-2F84-4301-87E9-AB51CCDB5060}">
      <text>
        <t>[Threaded comment]
Your version of Excel allows you to read this threaded comment; however, any edits to it will get removed if the file is opened in a newer version of Excel. Learn more: https://go.microsoft.com/fwlink/?linkid=870924
Comment:
    Mean is 7.25.</t>
      </text>
    </comment>
    <comment ref="B9" authorId="5" shapeId="0" xr:uid="{7CC1B9D2-DD30-4816-A8F7-C532D8B39557}">
      <text>
        <t>[Threaded comment]
Your version of Excel allows you to read this threaded comment; however, any edits to it will get removed if the file is opened in a newer version of Excel. Learn more: https://go.microsoft.com/fwlink/?linkid=870924
Comment:
    Income=revenues-expenditures. Mean is 2,383,826 UGX</t>
      </text>
    </comment>
    <comment ref="B10" authorId="6" shapeId="0" xr:uid="{1FED4A91-CC6E-4A23-A4CE-D9F39BBC3EF5}">
      <text>
        <t>[Threaded comment]
Your version of Excel allows you to read this threaded comment; however, any edits to it will get removed if the file is opened in a newer version of Excel. Learn more: https://go.microsoft.com/fwlink/?linkid=870924
Comment:
    Mean is 6,989,116 UGX</t>
      </text>
    </comment>
  </commentList>
</comments>
</file>

<file path=xl/sharedStrings.xml><?xml version="1.0" encoding="utf-8"?>
<sst xmlns="http://schemas.openxmlformats.org/spreadsheetml/2006/main" count="215" uniqueCount="186">
  <si>
    <t>HWG Impact Model:</t>
  </si>
  <si>
    <t>Pathways Out of Poverty</t>
  </si>
  <si>
    <t>Overview</t>
  </si>
  <si>
    <t>Project name</t>
  </si>
  <si>
    <t>Pathways out of poverty</t>
  </si>
  <si>
    <t>Implementing partner</t>
  </si>
  <si>
    <t>Raising The Village (RTV)</t>
  </si>
  <si>
    <t>Evaluation partner</t>
  </si>
  <si>
    <t>Laterite</t>
  </si>
  <si>
    <t>Project country</t>
  </si>
  <si>
    <t>Uganda</t>
  </si>
  <si>
    <t>Project region</t>
  </si>
  <si>
    <t>Kitagwenda and Rakai districts</t>
  </si>
  <si>
    <t>Project duration</t>
  </si>
  <si>
    <t>01/2024-12/2026</t>
  </si>
  <si>
    <t>Objective</t>
  </si>
  <si>
    <t>Enhance the economic well-being of last-mile, subsistence farmers living in ultra-poverty by increasing household income and earnings to $2 USD/day within 24 months – with prioritization of the most vulnerable
households, particularly those headed by women and youth</t>
  </si>
  <si>
    <t>Budget (nominal EUR)</t>
  </si>
  <si>
    <t>Outreach (number of households)</t>
  </si>
  <si>
    <t>Date of Analysis / Version</t>
  </si>
  <si>
    <t>Author</t>
  </si>
  <si>
    <t>Sarah Wiegel</t>
  </si>
  <si>
    <t>SROI</t>
  </si>
  <si>
    <t>Total SROI</t>
  </si>
  <si>
    <t>Type</t>
  </si>
  <si>
    <t>Forecast</t>
  </si>
  <si>
    <t>Level of certainty*</t>
  </si>
  <si>
    <t>Medium</t>
  </si>
  <si>
    <t>Data source of impact estimates</t>
  </si>
  <si>
    <t>Mahmud, M. &amp; E. Riley (2025): "'We're All in This Together': Experimental Evidence from a Universal Livelihoods Program", Unpublished manuscript.</t>
  </si>
  <si>
    <r>
      <t xml:space="preserve">Sensitivity analysis
</t>
    </r>
    <r>
      <rPr>
        <sz val="10"/>
        <color theme="1"/>
        <rFont val="Pero"/>
        <family val="2"/>
      </rPr>
      <t>(parameters to determine lower- and upper-bound SROI estimates)</t>
    </r>
  </si>
  <si>
    <t>Baseline income/consumption + expected income increase</t>
  </si>
  <si>
    <t>Lower-bound SROI</t>
  </si>
  <si>
    <t>Upper-bound SROI</t>
  </si>
  <si>
    <t>HWG evaluation</t>
  </si>
  <si>
    <t>Evaluation methodology</t>
  </si>
  <si>
    <t>Stepped-wedge clustered RCT with the parish as cluster unit (with a sequential roll-out of program activities, future cohorts are used as controls for earlier cohorts)</t>
  </si>
  <si>
    <t>Primary outcome</t>
  </si>
  <si>
    <t>Household consumption expenditure</t>
  </si>
  <si>
    <t>Income measurement</t>
  </si>
  <si>
    <t>Sum of a household's consumption expenditure on food, non-food, and semi-duable goods obtained from the rapid consumption module</t>
  </si>
  <si>
    <t>Sample size</t>
  </si>
  <si>
    <t>1,260 households in 42 parishes</t>
  </si>
  <si>
    <t>Study population</t>
  </si>
  <si>
    <t>Coffee-cultivating households that reside in project parishes</t>
  </si>
  <si>
    <t>Methodological rigor*</t>
  </si>
  <si>
    <t>Excellent</t>
  </si>
  <si>
    <t xml:space="preserve">Findings on other outcomes </t>
  </si>
  <si>
    <t>Quality of life (Cantrill ladder)</t>
  </si>
  <si>
    <t>Results expected in February 2027 (midline) and February 2029 (endline)</t>
  </si>
  <si>
    <t>Health</t>
  </si>
  <si>
    <t>Access to improved water sources</t>
  </si>
  <si>
    <t>Present Value vs Costs</t>
  </si>
  <si>
    <t>PV per HH</t>
  </si>
  <si>
    <t xml:space="preserve">Present Value </t>
  </si>
  <si>
    <t>Costs per HH</t>
  </si>
  <si>
    <t>Project Costs discounted</t>
  </si>
  <si>
    <t>NPV per HH</t>
  </si>
  <si>
    <t xml:space="preserve">Net Present Value </t>
  </si>
  <si>
    <r>
      <rPr>
        <b/>
        <sz val="12"/>
        <color theme="1"/>
        <rFont val="Pero"/>
        <family val="2"/>
      </rPr>
      <t>* Definitions</t>
    </r>
    <r>
      <rPr>
        <sz val="12"/>
        <color theme="1"/>
        <rFont val="Pero"/>
        <family val="2"/>
      </rPr>
      <t xml:space="preserve"> see tab "Info"</t>
    </r>
  </si>
  <si>
    <t>1) Pathways out of Poverty -  Theory of Change</t>
  </si>
  <si>
    <t>2) HereWeGrow Impact Map</t>
  </si>
  <si>
    <t>1) Details of the Analysis</t>
  </si>
  <si>
    <t>Impact Measure</t>
  </si>
  <si>
    <t>Cell shading indicates data confidence</t>
  </si>
  <si>
    <t>Base year</t>
  </si>
  <si>
    <t>Substantiated — supported by credible empirical source</t>
  </si>
  <si>
    <t>Year of Analysis</t>
  </si>
  <si>
    <t>Uncertain — based on limited data, proxy, or forecast assumption</t>
  </si>
  <si>
    <t>Year of Analysis Currency</t>
  </si>
  <si>
    <t>2021 EUR</t>
  </si>
  <si>
    <t>2) Assumptions Used in the Analysis</t>
  </si>
  <si>
    <t>Assumption</t>
  </si>
  <si>
    <t>Value</t>
  </si>
  <si>
    <t>Discount rate*</t>
  </si>
  <si>
    <t>Program impact</t>
  </si>
  <si>
    <t>Source</t>
  </si>
  <si>
    <t>Notes</t>
  </si>
  <si>
    <t>Median baseline annual household consumption (in nominal 2024 UGX)</t>
  </si>
  <si>
    <t>Laterite Baseline Report, p. 25</t>
  </si>
  <si>
    <t>3431.973*365*5.4</t>
  </si>
  <si>
    <t>Expected income increase (measured in consumption expenditure) in Yr 3</t>
  </si>
  <si>
    <t>Mahmud, M. and E. Riley (2025): "'We're All in This Together': Experimental Evidence form a Universal Livelihoods Program". Unpublished</t>
  </si>
  <si>
    <t xml:space="preserve">Income increased by 26% in the same paper. RCT results are much more conservative than RTV's own impact measurements. According to RTV Rapid Assessment for Cycle A 2024 HH Income and Production increased by 123%. RTV Impact Report 2024 reports differential between RTV HH Income and Production and peer group of 26% in Yr 1, 37% in Yr 2, 39% in Yr 3, 39% in Yr 4 and 45% in Yr 5. </t>
  </si>
  <si>
    <t>Household reach</t>
  </si>
  <si>
    <t>Project exposure (households graduate after 2 years) at end of HWG-funded PoP program</t>
  </si>
  <si>
    <t>Cycle</t>
  </si>
  <si>
    <t>Planned</t>
  </si>
  <si>
    <t>Actual</t>
  </si>
  <si>
    <t>Years</t>
  </si>
  <si>
    <t>HH</t>
  </si>
  <si>
    <t>Share</t>
  </si>
  <si>
    <t>Cycle A 2024</t>
  </si>
  <si>
    <t>Cycle B 2024</t>
  </si>
  <si>
    <t>Cycle A 2025</t>
  </si>
  <si>
    <t>Cycle B 2025</t>
  </si>
  <si>
    <t>2 or more</t>
  </si>
  <si>
    <t>Cycle A 2026</t>
  </si>
  <si>
    <t>Total</t>
  </si>
  <si>
    <t>Cycle B 2026</t>
  </si>
  <si>
    <t>Total household-years</t>
  </si>
  <si>
    <t>Total household-years for 2 year programming</t>
  </si>
  <si>
    <t>3) External parameters used in the analysis</t>
  </si>
  <si>
    <t>Inflation*</t>
  </si>
  <si>
    <t>Year</t>
  </si>
  <si>
    <t xml:space="preserve">Source </t>
  </si>
  <si>
    <t>Uganda (GDP deflator; base year=2016)</t>
  </si>
  <si>
    <t>Source: 2021-2030: IMF GDP deflator</t>
  </si>
  <si>
    <t>Germany (GDP deflator ; base year=2015/2016)</t>
  </si>
  <si>
    <t>Exchange rates</t>
  </si>
  <si>
    <t>UGX:EUR</t>
  </si>
  <si>
    <t>Standard</t>
  </si>
  <si>
    <t xml:space="preserve"> Source: 2021 average exchange rate</t>
  </si>
  <si>
    <t>*Detailed definitions are given under the tab "Info"</t>
  </si>
  <si>
    <t>1) Incremental Cash-flows household level</t>
  </si>
  <si>
    <t>Additional annual income per household (in real 2024 UGX)</t>
  </si>
  <si>
    <t>Additional annual income per household, discounted (in real 2024 UGX)</t>
  </si>
  <si>
    <t>Additional annual income per household, discounted (in real 2021 UGX)</t>
  </si>
  <si>
    <t>Additional income per household, discounted (in real 2021 EUR)</t>
  </si>
  <si>
    <t>2) Number of households per year and project location</t>
  </si>
  <si>
    <t>Number of years since participation</t>
  </si>
  <si>
    <t>Project Lifetime</t>
  </si>
  <si>
    <t>Beyond project lifetime</t>
  </si>
  <si>
    <t>3) Incremental cash-flow total project discounted</t>
  </si>
  <si>
    <t>Incremental Cash-flow , discounted (in real 2021 EUR)</t>
  </si>
  <si>
    <t xml:space="preserve">4) Project Costs </t>
  </si>
  <si>
    <t>HWG investment</t>
  </si>
  <si>
    <t>Additional costs to complete 2-year programming for all enrolled households</t>
  </si>
  <si>
    <t>Project Costs (in nominal EUR)</t>
  </si>
  <si>
    <t>RTV Realigned Budget 11_2025</t>
  </si>
  <si>
    <t>Project Costs (in real 2024 EUR)</t>
  </si>
  <si>
    <t>Project Costs, discounted (in real 2024 EUR)</t>
  </si>
  <si>
    <t>Project Costs, discounted (in real 2021 EUR)</t>
  </si>
  <si>
    <t>HWG investment discounted (in 2021 EUR)</t>
  </si>
  <si>
    <t>Costs per household-year discounted (in 2021 EUR)</t>
  </si>
  <si>
    <t>It costs about 64 EUR (discounted, in 2021 EUR) to provide one year of programming to one household.</t>
  </si>
  <si>
    <t>Costs per household-year undiscounted (in 2021 EUR)</t>
  </si>
  <si>
    <t>Total project costs (to allow 2-year programming for all enrolled hh) (discounted in 2021 EUR)</t>
  </si>
  <si>
    <t>Program costs per household discounted (in 2021 EUR)</t>
  </si>
  <si>
    <t>The average cost per participating household is 121 EUR (in 2021 EUR). This is the cost for a household to run through 2 years of programming.</t>
  </si>
  <si>
    <t>5) Present Value (in 2021 EUR)</t>
  </si>
  <si>
    <t>Net Present Value</t>
  </si>
  <si>
    <t xml:space="preserve">Present Value per household </t>
  </si>
  <si>
    <t>Net Present Value per household</t>
  </si>
  <si>
    <t>Relative increase in household income</t>
  </si>
  <si>
    <t>6) Project SROI</t>
  </si>
  <si>
    <t>SROI=Present value of project benefit/Present value of project costs</t>
  </si>
  <si>
    <t>Sensitivity analysis</t>
  </si>
  <si>
    <t xml:space="preserve">To test different scenarios change the data in column "Value". Reinsert the values from column "Base" into the column "Value" to reproduce the original model. </t>
  </si>
  <si>
    <t>Driver</t>
  </si>
  <si>
    <t>Base</t>
  </si>
  <si>
    <t>Note</t>
  </si>
  <si>
    <t>Discount rate</t>
  </si>
  <si>
    <t>Master input. Model input reads this cell.</t>
  </si>
  <si>
    <t>Baseline household income (2024 UGX)</t>
  </si>
  <si>
    <t>Expected income increase (Yr 3)</t>
  </si>
  <si>
    <t>Annual effect decay/increase</t>
  </si>
  <si>
    <t>3% p.a. (Year 4-6)</t>
  </si>
  <si>
    <t>Non-implementation cost share deducted</t>
  </si>
  <si>
    <t>SROI (based on entries in column "Value")</t>
  </si>
  <si>
    <t>NICS</t>
  </si>
  <si>
    <r>
      <rPr>
        <b/>
        <sz val="11"/>
        <color theme="1"/>
        <rFont val="Pero"/>
        <family val="2"/>
      </rPr>
      <t xml:space="preserve">Discount rate: </t>
    </r>
    <r>
      <rPr>
        <sz val="11"/>
        <color theme="1"/>
        <rFont val="Pero"/>
        <family val="2"/>
      </rPr>
      <t>Not discounting project benefits and costs would increase the SROI to 9.2.</t>
    </r>
  </si>
  <si>
    <r>
      <rPr>
        <b/>
        <sz val="11"/>
        <color theme="1"/>
        <rFont val="Pero"/>
        <family val="2"/>
      </rPr>
      <t xml:space="preserve">Non-implementation cost share: </t>
    </r>
    <r>
      <rPr>
        <sz val="11"/>
        <color theme="1"/>
        <rFont val="Pero"/>
        <family val="2"/>
      </rPr>
      <t>The project budget includes 9% indirect costs. Excluding these costs in the cost base for the SROI calculation increases SROI to 6.8.</t>
    </r>
  </si>
  <si>
    <r>
      <rPr>
        <b/>
        <sz val="11"/>
        <color rgb="FF000000"/>
        <rFont val="Pero"/>
        <family val="2"/>
      </rPr>
      <t>Baseline income and expected income increase:</t>
    </r>
    <r>
      <rPr>
        <sz val="11"/>
        <color rgb="FF000000"/>
        <rFont val="Pero"/>
        <family val="2"/>
      </rPr>
      <t xml:space="preserve"> The project generates positive and meaningful returns in most scenarios. Even under a conservative scenario of a 5% increase in median household consumption (the cited RCT demonstrates a 10% increase in mean hh consumption and a 26% increase in mean household income), SROI stays positive with a baseline household income of at least 2 mio UGX (~535 EUR). Households that are poorer at project start (RTV's own baseline surveys show mean annual household incomes as low as 675,000 UGX) require greater relative income gains of at least 20% to achieve a posititve SROI.</t>
    </r>
  </si>
  <si>
    <t>Median Baseline income (2024 UGX)</t>
  </si>
  <si>
    <t>Expected income increase</t>
  </si>
  <si>
    <r>
      <rPr>
        <b/>
        <sz val="11"/>
        <color theme="1"/>
        <rFont val="Pero"/>
        <family val="2"/>
      </rPr>
      <t xml:space="preserve">Dynamic treatment effects: </t>
    </r>
    <r>
      <rPr>
        <sz val="11"/>
        <color theme="1"/>
        <rFont val="Pero"/>
        <family val="2"/>
      </rPr>
      <t>Varying how the treatment effect differs over time has a neglible effect on SROI. If program effects grow more strongly by 10% each year until Yr 7, SROI increases to 7. If we apply a strong annual decay of 15% to the annual modelled benefit, SROI decreases to 4.6.</t>
    </r>
  </si>
  <si>
    <r>
      <rPr>
        <b/>
        <sz val="11"/>
        <color theme="1"/>
        <rFont val="Pero"/>
        <family val="2"/>
      </rPr>
      <t>Household reach</t>
    </r>
    <r>
      <rPr>
        <sz val="11"/>
        <color theme="1"/>
        <rFont val="Pero"/>
        <family val="2"/>
      </rPr>
      <t>: This forecast SROI uses the planned number of households reached as specified in the Technical Proposal. During implementation, RTV managed to engage more households than originally planned. While the base case forecast SROI represents the SROI at planning stage, sensitivity analysis shows that the actual household reach of 29,606 households will lift SROI to 6.7.</t>
    </r>
  </si>
  <si>
    <t>Number of households reached</t>
  </si>
  <si>
    <t>Household and farm characteristics of evaluation sample (subsample of coffee-selling households only; RTV targets all households in a treated parish)</t>
  </si>
  <si>
    <t>Characteristics</t>
  </si>
  <si>
    <t>Median farm size (ha)</t>
  </si>
  <si>
    <t>Laterite baseline report, p. 38</t>
  </si>
  <si>
    <t>Median coffee farm size (ha)</t>
  </si>
  <si>
    <t>Median number of productive coffee trees per ha</t>
  </si>
  <si>
    <t>Laterite baseline report, p. 46</t>
  </si>
  <si>
    <t>This is number of productive coffee trees per ha of farmland with more than 50% coffee tree coverage. This includes Robusta and Arabica trees.</t>
  </si>
  <si>
    <t>Median Robusta productivity per year (kg fresh cherry/ha)</t>
  </si>
  <si>
    <t>Laterite Baseline Report, p. 47</t>
  </si>
  <si>
    <t>Value provided as dried cherry (kiboko); converted to fresh cherry by dividing by 0.5.</t>
  </si>
  <si>
    <t>Median Robusta productivity per year (kg fresh cherry/tree)</t>
  </si>
  <si>
    <t>Laterite Baseline Report, p. 91</t>
  </si>
  <si>
    <t>Value provided as dried cherry (kiboko); converted to fresh cherry by dividing by 0.5.  Productivity seems very high.</t>
  </si>
  <si>
    <t>Median annual coffee income in nominal 2024 UGX</t>
  </si>
  <si>
    <t>Laterite baseline data</t>
  </si>
  <si>
    <t>Median total annual income in nominal 2024 UGX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</si>
</sst>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0\ &quot;€&quot;;\-#,##0\ &quot;€&quot;"/>
    <numFmt numFmtId="43" formatCode="_-* #,##0.00_-;\-* #,##0.00_-;_-* &quot;-&quot;??_-;_-@_-"/>
    <numFmt numFmtId="164" formatCode="_-* #,##0.00\ [$€-407]_-;\-* #,##0.00\ [$€-407]_-;_-* &quot;-&quot;??\ [$€-407]_-;_-@_-"/>
    <numFmt numFmtId="165" formatCode="#,##0\ &quot;€&quot;"/>
    <numFmt numFmtId="166" formatCode="0.0"/>
    <numFmt numFmtId="167" formatCode="_-* #,##0\ [$€-407]_-;\-* #,##0\ [$€-407]_-;_-* &quot;-&quot;\ [$€-407]_-;_-@_-"/>
    <numFmt numFmtId="168" formatCode="_-* #,##0.0\ [$€-407]_-;\-* #,##0.0\ [$€-407]_-;_-* &quot;-&quot;?\ [$€-407]_-;_-@_-"/>
    <numFmt numFmtId="169" formatCode="0.000"/>
    <numFmt numFmtId="170" formatCode="#,##0.00\ &quot;€&quot;"/>
    <numFmt numFmtId="171" formatCode="#,##0_ ;\-#,##0\ "/>
    <numFmt numFmtId="172" formatCode="#,##0.0"/>
    <numFmt numFmtId="173" formatCode="#,##0\ _€;\-#,##0\ _€"/>
    <numFmt numFmtId="174" formatCode="#,##0\ _€"/>
    <numFmt numFmtId="175" formatCode="#,##0.00_ ;\-#,##0.00\ "/>
    <numFmt numFmtId="176" formatCode="#,##0.000000"/>
  </numFmts>
  <fonts count="46">
    <font>
      <sz val="11"/>
      <color theme="1"/>
      <name val="Calibri"/>
      <family val="2"/>
      <scheme val="minor"/>
    </font>
    <font>
      <sz val="11"/>
      <color theme="1"/>
      <name val="Pero"/>
      <family val="2"/>
    </font>
    <font>
      <sz val="11"/>
      <color theme="1"/>
      <name val="Calibri"/>
      <family val="2"/>
      <scheme val="minor"/>
    </font>
    <font>
      <sz val="11"/>
      <color theme="1"/>
      <name val="Pero"/>
      <family val="2"/>
    </font>
    <font>
      <u/>
      <sz val="11"/>
      <color theme="10"/>
      <name val="Calibri"/>
      <family val="2"/>
      <scheme val="minor"/>
    </font>
    <font>
      <sz val="11"/>
      <name val="Pero"/>
      <family val="2"/>
    </font>
    <font>
      <b/>
      <sz val="11"/>
      <color theme="1"/>
      <name val="Pero"/>
      <family val="2"/>
    </font>
    <font>
      <b/>
      <sz val="14"/>
      <color theme="1"/>
      <name val="Calibri"/>
      <family val="2"/>
      <scheme val="minor"/>
    </font>
    <font>
      <b/>
      <sz val="12"/>
      <color theme="1"/>
      <name val="Pero ExtraBold"/>
      <family val="2"/>
    </font>
    <font>
      <sz val="20"/>
      <color theme="1"/>
      <name val="Pero ExtraBold"/>
      <family val="2"/>
    </font>
    <font>
      <i/>
      <sz val="11"/>
      <color theme="1"/>
      <name val="Calibri"/>
      <family val="2"/>
      <scheme val="minor"/>
    </font>
    <font>
      <sz val="11"/>
      <color rgb="FF3F3F76"/>
      <name val="Calibri"/>
      <family val="2"/>
      <scheme val="minor"/>
    </font>
    <font>
      <sz val="11"/>
      <color indexed="8"/>
      <name val="Calibri"/>
      <family val="2"/>
    </font>
    <font>
      <b/>
      <sz val="14"/>
      <color indexed="8"/>
      <name val="Pero"/>
      <family val="2"/>
    </font>
    <font>
      <sz val="10"/>
      <color indexed="8"/>
      <name val="Pero"/>
      <family val="2"/>
    </font>
    <font>
      <sz val="11"/>
      <color indexed="8"/>
      <name val="Pero"/>
      <family val="2"/>
    </font>
    <font>
      <b/>
      <sz val="11"/>
      <color theme="1"/>
      <name val="Calibri"/>
      <family val="2"/>
      <scheme val="minor"/>
    </font>
    <font>
      <b/>
      <sz val="11"/>
      <color indexed="8"/>
      <name val="Pero"/>
      <family val="2"/>
    </font>
    <font>
      <b/>
      <sz val="16"/>
      <color indexed="8"/>
      <name val="Pero"/>
      <family val="2"/>
    </font>
    <font>
      <b/>
      <sz val="14"/>
      <color theme="1"/>
      <name val="Pero"/>
      <family val="2"/>
    </font>
    <font>
      <b/>
      <sz val="14"/>
      <color theme="0"/>
      <name val="Pero"/>
      <family val="2"/>
    </font>
    <font>
      <b/>
      <sz val="14"/>
      <name val="Pero"/>
      <family val="2"/>
    </font>
    <font>
      <b/>
      <sz val="12"/>
      <color theme="1"/>
      <name val="Pero"/>
      <family val="2"/>
    </font>
    <font>
      <sz val="12"/>
      <color theme="1"/>
      <name val="Pero"/>
      <family val="2"/>
    </font>
    <font>
      <b/>
      <sz val="16"/>
      <color rgb="FF000000"/>
      <name val="Pero"/>
      <family val="2"/>
    </font>
    <font>
      <sz val="11"/>
      <color rgb="FF000000"/>
      <name val="Pero"/>
      <family val="2"/>
    </font>
    <font>
      <sz val="8"/>
      <name val="Calibri"/>
      <family val="2"/>
      <scheme val="minor"/>
    </font>
    <font>
      <sz val="12"/>
      <color theme="1"/>
      <name val="Pero ExtraBold"/>
      <family val="2"/>
    </font>
    <font>
      <sz val="12"/>
      <color theme="1"/>
      <name val="Calibri"/>
      <family val="2"/>
      <scheme val="minor"/>
    </font>
    <font>
      <b/>
      <sz val="11"/>
      <color theme="1"/>
      <name val="Pero ExtraBold"/>
      <family val="2"/>
    </font>
    <font>
      <sz val="11"/>
      <color theme="0"/>
      <name val="Pero"/>
      <family val="2"/>
    </font>
    <font>
      <b/>
      <sz val="11"/>
      <color rgb="FF000000"/>
      <name val="Pero"/>
      <family val="2"/>
    </font>
    <font>
      <u/>
      <sz val="11"/>
      <color rgb="FF0563C1"/>
      <name val="Pero"/>
      <family val="2"/>
    </font>
    <font>
      <i/>
      <sz val="10"/>
      <color rgb="FF595959"/>
      <name val="Pero"/>
      <family val="2"/>
    </font>
    <font>
      <u/>
      <sz val="11"/>
      <color theme="10"/>
      <name val="Pero"/>
      <family val="2"/>
    </font>
    <font>
      <sz val="16"/>
      <color indexed="8"/>
      <name val="Pero"/>
      <family val="2"/>
    </font>
    <font>
      <sz val="16"/>
      <color theme="1"/>
      <name val="Calibri"/>
      <family val="2"/>
      <scheme val="minor"/>
    </font>
    <font>
      <sz val="11"/>
      <color theme="0"/>
      <name val="Calibri"/>
      <family val="2"/>
      <scheme val="minor"/>
    </font>
    <font>
      <sz val="10"/>
      <color theme="1"/>
      <name val="Pero"/>
      <family val="2"/>
    </font>
    <font>
      <sz val="14"/>
      <color indexed="8"/>
      <name val="Pero ExtraBold"/>
      <family val="2"/>
    </font>
    <font>
      <b/>
      <sz val="11"/>
      <name val="Pero"/>
      <family val="2"/>
    </font>
    <font>
      <sz val="11"/>
      <name val="Pero ExtraBold"/>
      <family val="2"/>
    </font>
    <font>
      <sz val="11"/>
      <color indexed="8"/>
      <name val="Pero ExtraBold"/>
      <family val="2"/>
    </font>
    <font>
      <sz val="11"/>
      <color theme="1"/>
      <name val="Pero ExtraBold"/>
      <family val="2"/>
    </font>
    <font>
      <sz val="14"/>
      <color theme="1"/>
      <name val="Pero ExtraBold"/>
      <family val="2"/>
    </font>
    <font>
      <b/>
      <sz val="14"/>
      <color theme="1"/>
      <name val="Pero ExtraBold"/>
      <family val="2"/>
    </font>
  </fonts>
  <fills count="13">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rgb="FFC8AFBE"/>
        <bgColor indexed="64"/>
      </patternFill>
    </fill>
    <fill>
      <patternFill patternType="solid">
        <fgColor rgb="FFFFCC99"/>
      </patternFill>
    </fill>
    <fill>
      <patternFill patternType="solid">
        <fgColor theme="0" tint="-4.9989318521683403E-2"/>
        <bgColor indexed="64"/>
      </patternFill>
    </fill>
    <fill>
      <patternFill patternType="solid">
        <fgColor theme="0"/>
        <bgColor rgb="FF000000"/>
      </patternFill>
    </fill>
    <fill>
      <patternFill patternType="solid">
        <fgColor theme="0"/>
        <bgColor indexed="64"/>
      </patternFill>
    </fill>
    <fill>
      <patternFill patternType="solid">
        <fgColor theme="0" tint="-0.14999847407452621"/>
        <bgColor indexed="64"/>
      </patternFill>
    </fill>
    <fill>
      <patternFill patternType="solid">
        <fgColor rgb="FFCDD2B4"/>
        <bgColor indexed="64"/>
      </patternFill>
    </fill>
    <fill>
      <patternFill patternType="solid">
        <fgColor rgb="FFFFF2CC"/>
        <bgColor indexed="64"/>
      </patternFill>
    </fill>
    <fill>
      <patternFill patternType="solid">
        <fgColor rgb="FFDCA59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style="thin">
        <color indexed="64"/>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top style="thin">
        <color indexed="64"/>
      </top>
      <bottom/>
      <diagonal/>
    </border>
    <border>
      <left/>
      <right style="thin">
        <color indexed="64"/>
      </right>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indexed="64"/>
      </top>
      <bottom style="thin">
        <color indexed="64"/>
      </bottom>
      <diagonal/>
    </border>
    <border>
      <left style="thin">
        <color auto="1"/>
      </left>
      <right/>
      <top/>
      <bottom style="thin">
        <color indexed="64"/>
      </bottom>
      <diagonal/>
    </border>
    <border>
      <left/>
      <right style="thin">
        <color indexed="64"/>
      </right>
      <top style="thin">
        <color indexed="64"/>
      </top>
      <bottom/>
      <diagonal/>
    </border>
    <border>
      <left style="thin">
        <color auto="1"/>
      </left>
      <right/>
      <top style="thin">
        <color auto="1"/>
      </top>
      <bottom/>
      <diagonal/>
    </border>
    <border>
      <left/>
      <right style="thin">
        <color theme="0" tint="-0.499984740745262"/>
      </right>
      <top style="thin">
        <color indexed="64"/>
      </top>
      <bottom style="thin">
        <color indexed="64"/>
      </bottom>
      <diagonal/>
    </border>
  </borders>
  <cellStyleXfs count="6">
    <xf numFmtId="0" fontId="0" fillId="0" borderId="0"/>
    <xf numFmtId="43" fontId="2" fillId="0" borderId="0" applyFont="0" applyFill="0" applyBorder="0" applyAlignment="0" applyProtection="0"/>
    <xf numFmtId="0" fontId="4" fillId="0" borderId="0" applyNumberFormat="0" applyFill="0" applyBorder="0" applyAlignment="0" applyProtection="0"/>
    <xf numFmtId="9" fontId="2" fillId="0" borderId="0" applyFont="0" applyFill="0" applyBorder="0" applyAlignment="0" applyProtection="0"/>
    <xf numFmtId="0" fontId="11" fillId="5" borderId="7" applyNumberFormat="0" applyAlignment="0" applyProtection="0"/>
    <xf numFmtId="0" fontId="12" fillId="0" borderId="0"/>
  </cellStyleXfs>
  <cellXfs count="268">
    <xf numFmtId="0" fontId="0" fillId="0" borderId="0" xfId="0"/>
    <xf numFmtId="0" fontId="3" fillId="0" borderId="0" xfId="0" applyFont="1"/>
    <xf numFmtId="0" fontId="6" fillId="0" borderId="0" xfId="0" applyFont="1"/>
    <xf numFmtId="0" fontId="0" fillId="0" borderId="1" xfId="0" applyBorder="1"/>
    <xf numFmtId="0" fontId="13" fillId="3" borderId="0" xfId="5" applyFont="1" applyFill="1" applyAlignment="1">
      <alignment horizontal="left"/>
    </xf>
    <xf numFmtId="0" fontId="0" fillId="8" borderId="10" xfId="0" applyFill="1" applyBorder="1" applyAlignment="1">
      <alignment horizontal="left" vertical="center"/>
    </xf>
    <xf numFmtId="0" fontId="0" fillId="8" borderId="11" xfId="0" applyFill="1" applyBorder="1" applyAlignment="1">
      <alignment horizontal="left" vertical="center"/>
    </xf>
    <xf numFmtId="0" fontId="0" fillId="8" borderId="11" xfId="0" applyFill="1" applyBorder="1" applyAlignment="1">
      <alignment wrapText="1"/>
    </xf>
    <xf numFmtId="0" fontId="0" fillId="8" borderId="11" xfId="0" applyFill="1" applyBorder="1"/>
    <xf numFmtId="0" fontId="0" fillId="8" borderId="12" xfId="0" applyFill="1" applyBorder="1"/>
    <xf numFmtId="0" fontId="13" fillId="8" borderId="13" xfId="5" applyFont="1" applyFill="1" applyBorder="1" applyAlignment="1">
      <alignment horizontal="left"/>
    </xf>
    <xf numFmtId="0" fontId="18" fillId="9" borderId="0" xfId="5" applyFont="1" applyFill="1" applyAlignment="1">
      <alignment horizontal="left" vertical="center"/>
    </xf>
    <xf numFmtId="0" fontId="0" fillId="8" borderId="0" xfId="0" applyFill="1"/>
    <xf numFmtId="0" fontId="0" fillId="8" borderId="14" xfId="0" applyFill="1" applyBorder="1"/>
    <xf numFmtId="0" fontId="0" fillId="8" borderId="13" xfId="0" applyFill="1" applyBorder="1" applyAlignment="1">
      <alignment horizontal="left" vertical="center"/>
    </xf>
    <xf numFmtId="0" fontId="0" fillId="8" borderId="0" xfId="0" applyFill="1" applyAlignment="1">
      <alignment horizontal="left" vertical="center"/>
    </xf>
    <xf numFmtId="0" fontId="0" fillId="8" borderId="0" xfId="0" applyFill="1" applyAlignment="1">
      <alignment wrapText="1"/>
    </xf>
    <xf numFmtId="0" fontId="13" fillId="3" borderId="13" xfId="5" applyFont="1" applyFill="1" applyBorder="1" applyAlignment="1">
      <alignment horizontal="left" vertical="center"/>
    </xf>
    <xf numFmtId="0" fontId="13" fillId="3" borderId="0" xfId="5" applyFont="1" applyFill="1" applyAlignment="1">
      <alignment horizontal="left" vertical="center"/>
    </xf>
    <xf numFmtId="0" fontId="13" fillId="3" borderId="0" xfId="5" applyFont="1" applyFill="1" applyAlignment="1">
      <alignment horizontal="left" wrapText="1"/>
    </xf>
    <xf numFmtId="0" fontId="0" fillId="3" borderId="0" xfId="0" applyFill="1"/>
    <xf numFmtId="0" fontId="0" fillId="3" borderId="14" xfId="0" applyFill="1" applyBorder="1"/>
    <xf numFmtId="0" fontId="13" fillId="8" borderId="0" xfId="5" applyFont="1" applyFill="1" applyAlignment="1">
      <alignment horizontal="left" vertical="center"/>
    </xf>
    <xf numFmtId="0" fontId="13" fillId="8" borderId="0" xfId="5" applyFont="1" applyFill="1" applyAlignment="1">
      <alignment horizontal="left" wrapText="1"/>
    </xf>
    <xf numFmtId="0" fontId="13" fillId="8" borderId="0" xfId="5" applyFont="1" applyFill="1" applyAlignment="1">
      <alignment horizontal="left"/>
    </xf>
    <xf numFmtId="0" fontId="17" fillId="8" borderId="15" xfId="5" applyFont="1" applyFill="1" applyBorder="1" applyAlignment="1">
      <alignment horizontal="left" vertical="center"/>
    </xf>
    <xf numFmtId="0" fontId="13" fillId="8" borderId="15" xfId="5" applyFont="1" applyFill="1" applyBorder="1" applyAlignment="1">
      <alignment horizontal="left"/>
    </xf>
    <xf numFmtId="0" fontId="6" fillId="8" borderId="15" xfId="0" applyFont="1" applyFill="1" applyBorder="1" applyAlignment="1">
      <alignment horizontal="left" vertical="center"/>
    </xf>
    <xf numFmtId="0" fontId="4" fillId="8" borderId="15" xfId="2" applyFill="1" applyBorder="1" applyAlignment="1">
      <alignment wrapText="1"/>
    </xf>
    <xf numFmtId="0" fontId="6" fillId="8" borderId="0" xfId="0" applyFont="1" applyFill="1" applyAlignment="1">
      <alignment horizontal="left" vertical="center"/>
    </xf>
    <xf numFmtId="0" fontId="13" fillId="3" borderId="14" xfId="5" applyFont="1" applyFill="1" applyBorder="1" applyAlignment="1">
      <alignment horizontal="left"/>
    </xf>
    <xf numFmtId="0" fontId="13" fillId="8" borderId="13" xfId="5" applyFont="1" applyFill="1" applyBorder="1" applyAlignment="1">
      <alignment horizontal="left" vertical="center"/>
    </xf>
    <xf numFmtId="0" fontId="19" fillId="8" borderId="13" xfId="0" applyFont="1" applyFill="1" applyBorder="1" applyAlignment="1">
      <alignment horizontal="left" vertical="center"/>
    </xf>
    <xf numFmtId="0" fontId="19" fillId="9" borderId="15" xfId="0" applyFont="1" applyFill="1" applyBorder="1" applyAlignment="1">
      <alignment horizontal="left" vertical="center"/>
    </xf>
    <xf numFmtId="0" fontId="6" fillId="8" borderId="13" xfId="0" applyFont="1" applyFill="1" applyBorder="1" applyAlignment="1">
      <alignment horizontal="left" vertical="center"/>
    </xf>
    <xf numFmtId="0" fontId="0" fillId="0" borderId="0" xfId="0" applyAlignment="1">
      <alignment horizontal="left" vertical="center"/>
    </xf>
    <xf numFmtId="0" fontId="0" fillId="0" borderId="0" xfId="0" applyAlignment="1">
      <alignment wrapText="1"/>
    </xf>
    <xf numFmtId="0" fontId="16" fillId="8" borderId="13" xfId="0" applyFont="1" applyFill="1" applyBorder="1" applyAlignment="1">
      <alignment horizontal="left" vertical="center"/>
    </xf>
    <xf numFmtId="0" fontId="16" fillId="8" borderId="0" xfId="0" applyFont="1" applyFill="1" applyAlignment="1">
      <alignment horizontal="left" vertical="center"/>
    </xf>
    <xf numFmtId="0" fontId="0" fillId="8" borderId="0" xfId="0" applyFill="1" applyAlignment="1">
      <alignment horizontal="left"/>
    </xf>
    <xf numFmtId="0" fontId="0" fillId="8" borderId="13" xfId="0" applyFill="1" applyBorder="1" applyAlignment="1">
      <alignment horizontal="left"/>
    </xf>
    <xf numFmtId="167" fontId="0" fillId="0" borderId="0" xfId="0" applyNumberFormat="1" applyAlignment="1">
      <alignment horizontal="left"/>
    </xf>
    <xf numFmtId="0" fontId="0" fillId="8" borderId="9" xfId="0" applyFill="1" applyBorder="1" applyAlignment="1">
      <alignment vertical="center"/>
    </xf>
    <xf numFmtId="165" fontId="0" fillId="8" borderId="0" xfId="0" applyNumberFormat="1" applyFill="1" applyAlignment="1">
      <alignment horizontal="left"/>
    </xf>
    <xf numFmtId="0" fontId="0" fillId="8" borderId="16" xfId="0" applyFill="1" applyBorder="1" applyAlignment="1">
      <alignment horizontal="left" vertical="center"/>
    </xf>
    <xf numFmtId="0" fontId="0" fillId="8" borderId="17" xfId="0" applyFill="1" applyBorder="1" applyAlignment="1">
      <alignment wrapText="1"/>
    </xf>
    <xf numFmtId="0" fontId="0" fillId="8" borderId="17" xfId="0" applyFill="1" applyBorder="1"/>
    <xf numFmtId="0" fontId="0" fillId="8" borderId="18" xfId="0" applyFill="1" applyBorder="1"/>
    <xf numFmtId="0" fontId="6" fillId="8" borderId="1" xfId="0" applyFont="1" applyFill="1" applyBorder="1" applyAlignment="1">
      <alignment horizontal="left"/>
    </xf>
    <xf numFmtId="0" fontId="5" fillId="8" borderId="15" xfId="2" applyFont="1" applyFill="1" applyBorder="1" applyAlignment="1">
      <alignment wrapText="1"/>
    </xf>
    <xf numFmtId="0" fontId="15" fillId="0" borderId="6" xfId="5" applyFont="1" applyBorder="1"/>
    <xf numFmtId="0" fontId="0" fillId="0" borderId="9" xfId="0" applyBorder="1"/>
    <xf numFmtId="0" fontId="6" fillId="0" borderId="0" xfId="0" applyFont="1" applyAlignment="1">
      <alignment horizontal="right"/>
    </xf>
    <xf numFmtId="0" fontId="0" fillId="0" borderId="6" xfId="0" applyBorder="1"/>
    <xf numFmtId="0" fontId="13" fillId="3" borderId="9" xfId="5" applyFont="1" applyFill="1" applyBorder="1" applyAlignment="1">
      <alignment horizontal="left"/>
    </xf>
    <xf numFmtId="0" fontId="0" fillId="0" borderId="8" xfId="0" applyBorder="1"/>
    <xf numFmtId="0" fontId="0" fillId="0" borderId="20" xfId="0" applyBorder="1"/>
    <xf numFmtId="0" fontId="0" fillId="0" borderId="19" xfId="0" applyBorder="1"/>
    <xf numFmtId="0" fontId="21" fillId="3" borderId="0" xfId="5" applyFont="1" applyFill="1" applyAlignment="1">
      <alignment horizontal="left" vertical="center"/>
    </xf>
    <xf numFmtId="0" fontId="23" fillId="8" borderId="17" xfId="0" applyFont="1" applyFill="1" applyBorder="1" applyAlignment="1">
      <alignment horizontal="left" vertical="center"/>
    </xf>
    <xf numFmtId="0" fontId="6" fillId="8" borderId="21" xfId="0" applyFont="1" applyFill="1" applyBorder="1" applyAlignment="1">
      <alignment horizontal="left" vertical="center"/>
    </xf>
    <xf numFmtId="0" fontId="6" fillId="8" borderId="21" xfId="0" applyFont="1" applyFill="1" applyBorder="1" applyAlignment="1">
      <alignment horizontal="left" vertical="center" wrapText="1"/>
    </xf>
    <xf numFmtId="0" fontId="25" fillId="0" borderId="0" xfId="0" applyFont="1"/>
    <xf numFmtId="0" fontId="13" fillId="0" borderId="9" xfId="5" applyFont="1" applyBorder="1" applyAlignment="1">
      <alignment horizontal="left"/>
    </xf>
    <xf numFmtId="0" fontId="28" fillId="0" borderId="0" xfId="0" applyFont="1"/>
    <xf numFmtId="0" fontId="0" fillId="3" borderId="9" xfId="0" applyFill="1" applyBorder="1"/>
    <xf numFmtId="174" fontId="5" fillId="0" borderId="1" xfId="0" applyNumberFormat="1" applyFont="1" applyBorder="1"/>
    <xf numFmtId="0" fontId="0" fillId="0" borderId="14" xfId="0" applyBorder="1"/>
    <xf numFmtId="166" fontId="20" fillId="10" borderId="15" xfId="0" applyNumberFormat="1" applyFont="1" applyFill="1" applyBorder="1" applyAlignment="1">
      <alignment horizontal="left" wrapText="1"/>
    </xf>
    <xf numFmtId="0" fontId="8" fillId="2" borderId="4" xfId="0" applyFont="1" applyFill="1" applyBorder="1"/>
    <xf numFmtId="0" fontId="29" fillId="4" borderId="2" xfId="0" applyFont="1" applyFill="1" applyBorder="1" applyAlignment="1">
      <alignment horizontal="left"/>
    </xf>
    <xf numFmtId="0" fontId="31" fillId="0" borderId="6" xfId="0" applyFont="1" applyBorder="1" applyAlignment="1">
      <alignment horizontal="left"/>
    </xf>
    <xf numFmtId="0" fontId="18" fillId="3" borderId="9" xfId="5" applyFont="1" applyFill="1" applyBorder="1" applyAlignment="1">
      <alignment horizontal="left"/>
    </xf>
    <xf numFmtId="0" fontId="36" fillId="0" borderId="0" xfId="0" applyFont="1"/>
    <xf numFmtId="174" fontId="27" fillId="2" borderId="1" xfId="0" applyNumberFormat="1" applyFont="1" applyFill="1" applyBorder="1" applyAlignment="1">
      <alignment horizontal="center" vertical="center"/>
    </xf>
    <xf numFmtId="174" fontId="5" fillId="0" borderId="1" xfId="0" applyNumberFormat="1" applyFont="1" applyBorder="1" applyAlignment="1">
      <alignment horizontal="center"/>
    </xf>
    <xf numFmtId="0" fontId="0" fillId="6" borderId="5" xfId="0" applyFill="1" applyBorder="1" applyAlignment="1">
      <alignment vertical="center"/>
    </xf>
    <xf numFmtId="0" fontId="0" fillId="6" borderId="1" xfId="0" applyFill="1" applyBorder="1" applyAlignment="1">
      <alignment vertical="center"/>
    </xf>
    <xf numFmtId="0" fontId="6" fillId="4" borderId="1" xfId="0" applyFont="1" applyFill="1" applyBorder="1" applyAlignment="1">
      <alignment horizontal="center"/>
    </xf>
    <xf numFmtId="0" fontId="0" fillId="3" borderId="19" xfId="0" applyFill="1" applyBorder="1"/>
    <xf numFmtId="9" fontId="0" fillId="0" borderId="0" xfId="0" applyNumberFormat="1"/>
    <xf numFmtId="166" fontId="37" fillId="0" borderId="0" xfId="0" applyNumberFormat="1" applyFont="1"/>
    <xf numFmtId="0" fontId="0" fillId="3" borderId="24" xfId="0" applyFill="1" applyBorder="1"/>
    <xf numFmtId="0" fontId="23" fillId="0" borderId="1" xfId="0" applyFont="1" applyBorder="1" applyAlignment="1">
      <alignment vertical="center"/>
    </xf>
    <xf numFmtId="167" fontId="23" fillId="0" borderId="1" xfId="0" applyNumberFormat="1" applyFont="1" applyBorder="1" applyAlignment="1">
      <alignment vertical="center"/>
    </xf>
    <xf numFmtId="0" fontId="34" fillId="8" borderId="15" xfId="2" applyFont="1" applyFill="1" applyBorder="1" applyAlignment="1">
      <alignment wrapText="1"/>
    </xf>
    <xf numFmtId="0" fontId="34" fillId="8" borderId="15" xfId="2" applyFont="1" applyFill="1" applyBorder="1"/>
    <xf numFmtId="0" fontId="6" fillId="8" borderId="1" xfId="0" applyFont="1" applyFill="1" applyBorder="1" applyAlignment="1">
      <alignment horizontal="left" vertical="center" wrapText="1"/>
    </xf>
    <xf numFmtId="0" fontId="6" fillId="8" borderId="1" xfId="0" applyFont="1" applyFill="1" applyBorder="1" applyAlignment="1">
      <alignment horizontal="left" vertical="center"/>
    </xf>
    <xf numFmtId="9" fontId="5" fillId="0" borderId="9" xfId="0" applyNumberFormat="1" applyFont="1" applyBorder="1"/>
    <xf numFmtId="0" fontId="0" fillId="8" borderId="22" xfId="0" applyFill="1" applyBorder="1"/>
    <xf numFmtId="0" fontId="0" fillId="8" borderId="26" xfId="0" applyFill="1" applyBorder="1"/>
    <xf numFmtId="0" fontId="34" fillId="0" borderId="1" xfId="2" applyFont="1" applyBorder="1" applyAlignment="1">
      <alignment horizontal="left" vertical="center"/>
    </xf>
    <xf numFmtId="0" fontId="13" fillId="3" borderId="25" xfId="5" applyFont="1" applyFill="1" applyBorder="1" applyAlignment="1">
      <alignment horizontal="left"/>
    </xf>
    <xf numFmtId="0" fontId="39" fillId="3" borderId="19" xfId="5" applyFont="1" applyFill="1" applyBorder="1" applyAlignment="1">
      <alignment horizontal="left"/>
    </xf>
    <xf numFmtId="0" fontId="13" fillId="3" borderId="19" xfId="5" applyFont="1" applyFill="1" applyBorder="1" applyAlignment="1">
      <alignment horizontal="left"/>
    </xf>
    <xf numFmtId="0" fontId="13" fillId="3" borderId="24" xfId="5" applyFont="1" applyFill="1" applyBorder="1" applyAlignment="1">
      <alignment horizontal="left"/>
    </xf>
    <xf numFmtId="0" fontId="13" fillId="3" borderId="6" xfId="5" applyFont="1" applyFill="1" applyBorder="1" applyAlignment="1">
      <alignment horizontal="left"/>
    </xf>
    <xf numFmtId="0" fontId="39" fillId="3" borderId="0" xfId="5" applyFont="1" applyFill="1" applyAlignment="1">
      <alignment horizontal="left"/>
    </xf>
    <xf numFmtId="0" fontId="40" fillId="8" borderId="1" xfId="0" applyFont="1" applyFill="1" applyBorder="1" applyAlignment="1">
      <alignment horizontal="left" vertical="center"/>
    </xf>
    <xf numFmtId="0" fontId="5" fillId="0" borderId="1" xfId="4" applyFont="1" applyFill="1" applyBorder="1" applyAlignment="1">
      <alignment horizontal="center"/>
    </xf>
    <xf numFmtId="0" fontId="42" fillId="4" borderId="1" xfId="5" applyFont="1" applyFill="1" applyBorder="1" applyAlignment="1">
      <alignment horizontal="center" vertical="center"/>
    </xf>
    <xf numFmtId="0" fontId="25" fillId="0" borderId="1" xfId="0" applyFont="1" applyBorder="1" applyAlignment="1">
      <alignment horizontal="left"/>
    </xf>
    <xf numFmtId="0" fontId="25" fillId="0" borderId="1" xfId="0" applyFont="1" applyBorder="1" applyAlignment="1">
      <alignment horizontal="left" wrapText="1"/>
    </xf>
    <xf numFmtId="173" fontId="5" fillId="3" borderId="1" xfId="0" applyNumberFormat="1" applyFont="1" applyFill="1" applyBorder="1" applyAlignment="1">
      <alignment horizontal="center"/>
    </xf>
    <xf numFmtId="9" fontId="5" fillId="12" borderId="1" xfId="0" applyNumberFormat="1" applyFont="1" applyFill="1" applyBorder="1" applyAlignment="1">
      <alignment horizontal="center"/>
    </xf>
    <xf numFmtId="0" fontId="42" fillId="4" borderId="2" xfId="5" applyFont="1" applyFill="1" applyBorder="1" applyAlignment="1">
      <alignment horizontal="center" vertical="center"/>
    </xf>
    <xf numFmtId="3" fontId="5" fillId="3" borderId="1" xfId="0" applyNumberFormat="1" applyFont="1" applyFill="1" applyBorder="1" applyAlignment="1">
      <alignment horizontal="center"/>
    </xf>
    <xf numFmtId="3" fontId="5" fillId="0" borderId="1" xfId="0" applyNumberFormat="1" applyFont="1" applyBorder="1" applyAlignment="1">
      <alignment horizontal="center"/>
    </xf>
    <xf numFmtId="9" fontId="5" fillId="0" borderId="1" xfId="0" applyNumberFormat="1" applyFont="1" applyBorder="1" applyAlignment="1">
      <alignment horizontal="center"/>
    </xf>
    <xf numFmtId="0" fontId="25" fillId="7" borderId="1" xfId="0" applyFont="1" applyFill="1" applyBorder="1" applyAlignment="1">
      <alignment horizontal="left" vertical="center"/>
    </xf>
    <xf numFmtId="0" fontId="4" fillId="0" borderId="1" xfId="2" applyFill="1" applyBorder="1" applyAlignment="1"/>
    <xf numFmtId="166" fontId="5" fillId="3" borderId="1" xfId="0" applyNumberFormat="1" applyFont="1" applyFill="1" applyBorder="1" applyAlignment="1">
      <alignment horizontal="center" vertical="center" wrapText="1"/>
    </xf>
    <xf numFmtId="0" fontId="5" fillId="3" borderId="1" xfId="5" applyFont="1" applyFill="1" applyBorder="1" applyAlignment="1">
      <alignment horizontal="center" vertical="center" wrapText="1"/>
    </xf>
    <xf numFmtId="176" fontId="5" fillId="3" borderId="1" xfId="0" applyNumberFormat="1" applyFont="1" applyFill="1" applyBorder="1" applyAlignment="1">
      <alignment horizontal="center"/>
    </xf>
    <xf numFmtId="0" fontId="31" fillId="0" borderId="0" xfId="0" applyFont="1" applyAlignment="1">
      <alignment horizontal="left"/>
    </xf>
    <xf numFmtId="0" fontId="43" fillId="4" borderId="1" xfId="0" applyFont="1" applyFill="1" applyBorder="1" applyAlignment="1">
      <alignment horizontal="center" vertical="center"/>
    </xf>
    <xf numFmtId="0" fontId="5" fillId="0" borderId="1" xfId="0" applyFont="1" applyBorder="1" applyAlignment="1">
      <alignment horizontal="left"/>
    </xf>
    <xf numFmtId="0" fontId="14" fillId="0" borderId="0" xfId="5" applyFont="1"/>
    <xf numFmtId="169" fontId="14" fillId="0" borderId="0" xfId="5" applyNumberFormat="1" applyFont="1" applyAlignment="1">
      <alignment horizontal="center"/>
    </xf>
    <xf numFmtId="0" fontId="32" fillId="0" borderId="0" xfId="0" applyFont="1"/>
    <xf numFmtId="0" fontId="31" fillId="11" borderId="0" xfId="5" applyFont="1" applyFill="1" applyAlignment="1">
      <alignment horizontal="left"/>
    </xf>
    <xf numFmtId="0" fontId="31" fillId="11" borderId="0" xfId="0" applyFont="1" applyFill="1" applyAlignment="1">
      <alignment horizontal="left"/>
    </xf>
    <xf numFmtId="0" fontId="31" fillId="11" borderId="9" xfId="0" applyFont="1" applyFill="1" applyBorder="1" applyAlignment="1">
      <alignment horizontal="left"/>
    </xf>
    <xf numFmtId="0" fontId="31" fillId="0" borderId="0" xfId="5" applyFont="1" applyAlignment="1">
      <alignment horizontal="left"/>
    </xf>
    <xf numFmtId="0" fontId="31" fillId="0" borderId="9" xfId="0" applyFont="1" applyBorder="1" applyAlignment="1">
      <alignment horizontal="left"/>
    </xf>
    <xf numFmtId="0" fontId="13" fillId="0" borderId="0" xfId="5" applyFont="1" applyAlignment="1">
      <alignment horizontal="left"/>
    </xf>
    <xf numFmtId="0" fontId="39" fillId="0" borderId="0" xfId="5" applyFont="1" applyAlignment="1">
      <alignment horizontal="left"/>
    </xf>
    <xf numFmtId="0" fontId="31" fillId="0" borderId="0" xfId="0" applyFont="1" applyAlignment="1">
      <alignment horizontal="left" vertical="center" wrapText="1"/>
    </xf>
    <xf numFmtId="169" fontId="31" fillId="11" borderId="0" xfId="5" applyNumberFormat="1" applyFont="1" applyFill="1" applyAlignment="1">
      <alignment horizontal="left"/>
    </xf>
    <xf numFmtId="0" fontId="44" fillId="3" borderId="0" xfId="5" applyFont="1" applyFill="1" applyAlignment="1">
      <alignment horizontal="left"/>
    </xf>
    <xf numFmtId="0" fontId="7" fillId="0" borderId="8" xfId="0" applyFont="1" applyBorder="1"/>
    <xf numFmtId="0" fontId="13" fillId="0" borderId="8" xfId="5" applyFont="1" applyBorder="1" applyAlignment="1">
      <alignment horizontal="left"/>
    </xf>
    <xf numFmtId="0" fontId="27" fillId="4" borderId="1" xfId="0" applyFont="1" applyFill="1" applyBorder="1" applyAlignment="1">
      <alignment horizontal="center"/>
    </xf>
    <xf numFmtId="0" fontId="27" fillId="4" borderId="1" xfId="0" applyFont="1" applyFill="1" applyBorder="1" applyAlignment="1">
      <alignment horizontal="left"/>
    </xf>
    <xf numFmtId="0" fontId="0" fillId="0" borderId="22" xfId="0" applyBorder="1"/>
    <xf numFmtId="0" fontId="27" fillId="0" borderId="1" xfId="0" applyFont="1" applyBorder="1" applyAlignment="1">
      <alignment vertical="center"/>
    </xf>
    <xf numFmtId="165" fontId="27" fillId="0" borderId="1" xfId="0" applyNumberFormat="1" applyFont="1" applyBorder="1" applyAlignment="1">
      <alignment vertical="center"/>
    </xf>
    <xf numFmtId="0" fontId="0" fillId="0" borderId="19" xfId="0" applyBorder="1" applyAlignment="1">
      <alignment horizontal="left"/>
    </xf>
    <xf numFmtId="167" fontId="27" fillId="0" borderId="1" xfId="0" applyNumberFormat="1" applyFont="1" applyBorder="1" applyAlignment="1">
      <alignment vertical="center" wrapText="1"/>
    </xf>
    <xf numFmtId="9" fontId="27" fillId="0" borderId="1" xfId="0" applyNumberFormat="1" applyFont="1" applyBorder="1" applyAlignment="1">
      <alignment vertical="center" wrapText="1"/>
    </xf>
    <xf numFmtId="0" fontId="44" fillId="0" borderId="1" xfId="0" applyFont="1" applyBorder="1" applyAlignment="1">
      <alignment vertical="center"/>
    </xf>
    <xf numFmtId="166" fontId="44" fillId="8" borderId="1" xfId="0" applyNumberFormat="1" applyFont="1" applyFill="1" applyBorder="1" applyAlignment="1">
      <alignment vertical="center" wrapText="1"/>
    </xf>
    <xf numFmtId="169" fontId="35" fillId="3" borderId="0" xfId="5" applyNumberFormat="1" applyFont="1" applyFill="1" applyAlignment="1">
      <alignment horizontal="center" wrapText="1"/>
    </xf>
    <xf numFmtId="0" fontId="35" fillId="3" borderId="0" xfId="5" applyFont="1" applyFill="1"/>
    <xf numFmtId="169" fontId="35" fillId="3" borderId="0" xfId="5" applyNumberFormat="1" applyFont="1" applyFill="1" applyAlignment="1">
      <alignment horizontal="center"/>
    </xf>
    <xf numFmtId="0" fontId="18" fillId="3" borderId="0" xfId="5" applyFont="1" applyFill="1" applyAlignment="1">
      <alignment horizontal="left"/>
    </xf>
    <xf numFmtId="174" fontId="0" fillId="0" borderId="0" xfId="0" applyNumberFormat="1"/>
    <xf numFmtId="173" fontId="0" fillId="0" borderId="0" xfId="0" applyNumberFormat="1"/>
    <xf numFmtId="174" fontId="0" fillId="3" borderId="0" xfId="0" applyNumberFormat="1" applyFill="1"/>
    <xf numFmtId="169" fontId="14" fillId="3" borderId="0" xfId="5" applyNumberFormat="1" applyFont="1" applyFill="1" applyAlignment="1">
      <alignment horizontal="center" wrapText="1"/>
    </xf>
    <xf numFmtId="0" fontId="14" fillId="3" borderId="0" xfId="5" applyFont="1" applyFill="1"/>
    <xf numFmtId="169" fontId="14" fillId="3" borderId="0" xfId="5" applyNumberFormat="1" applyFont="1" applyFill="1" applyAlignment="1">
      <alignment horizontal="center"/>
    </xf>
    <xf numFmtId="169" fontId="14" fillId="0" borderId="0" xfId="5" applyNumberFormat="1" applyFont="1" applyAlignment="1">
      <alignment horizontal="center" wrapText="1"/>
    </xf>
    <xf numFmtId="167" fontId="0" fillId="0" borderId="0" xfId="0" applyNumberFormat="1"/>
    <xf numFmtId="5" fontId="9" fillId="0" borderId="0" xfId="0" applyNumberFormat="1" applyFont="1" applyAlignment="1">
      <alignment horizontal="left" vertical="center"/>
    </xf>
    <xf numFmtId="5" fontId="0" fillId="0" borderId="0" xfId="0" applyNumberFormat="1"/>
    <xf numFmtId="165" fontId="0" fillId="0" borderId="0" xfId="0" applyNumberFormat="1"/>
    <xf numFmtId="0" fontId="0" fillId="0" borderId="0" xfId="0" applyAlignment="1">
      <alignment horizontal="left"/>
    </xf>
    <xf numFmtId="0" fontId="9" fillId="0" borderId="0" xfId="0" applyFont="1" applyAlignment="1">
      <alignment horizontal="left" vertical="center"/>
    </xf>
    <xf numFmtId="168" fontId="0" fillId="0" borderId="0" xfId="0" applyNumberFormat="1"/>
    <xf numFmtId="175" fontId="10" fillId="0" borderId="0" xfId="0" applyNumberFormat="1" applyFont="1" applyAlignment="1">
      <alignment vertical="center" wrapText="1"/>
    </xf>
    <xf numFmtId="0" fontId="33" fillId="0" borderId="0" xfId="0" applyFont="1"/>
    <xf numFmtId="0" fontId="45" fillId="3" borderId="0" xfId="0" applyFont="1" applyFill="1" applyAlignment="1">
      <alignment horizontal="left" vertical="center" wrapText="1"/>
    </xf>
    <xf numFmtId="0" fontId="9" fillId="3" borderId="0" xfId="0" applyFont="1" applyFill="1" applyAlignment="1">
      <alignment horizontal="left" vertical="center"/>
    </xf>
    <xf numFmtId="0" fontId="44" fillId="3" borderId="0" xfId="5" applyFont="1" applyFill="1" applyAlignment="1">
      <alignment horizontal="left" vertical="center"/>
    </xf>
    <xf numFmtId="9" fontId="5" fillId="3" borderId="1" xfId="0" applyNumberFormat="1" applyFont="1" applyFill="1" applyBorder="1" applyAlignment="1">
      <alignment horizontal="center"/>
    </xf>
    <xf numFmtId="0" fontId="6" fillId="0" borderId="1" xfId="0" applyFont="1" applyBorder="1"/>
    <xf numFmtId="166" fontId="6" fillId="0" borderId="1" xfId="0" applyNumberFormat="1" applyFont="1" applyBorder="1" applyAlignment="1">
      <alignment horizontal="center"/>
    </xf>
    <xf numFmtId="0" fontId="25" fillId="0" borderId="0" xfId="0" applyFont="1" applyAlignment="1">
      <alignment horizontal="left"/>
    </xf>
    <xf numFmtId="3" fontId="5" fillId="0" borderId="24" xfId="0" applyNumberFormat="1" applyFont="1" applyBorder="1" applyAlignment="1">
      <alignment horizontal="center"/>
    </xf>
    <xf numFmtId="166" fontId="30" fillId="0" borderId="8" xfId="0" applyNumberFormat="1" applyFont="1" applyBorder="1" applyAlignment="1">
      <alignment vertical="center"/>
    </xf>
    <xf numFmtId="3" fontId="5" fillId="0" borderId="9" xfId="0" applyNumberFormat="1" applyFont="1" applyBorder="1" applyAlignment="1">
      <alignment horizontal="center" vertical="top"/>
    </xf>
    <xf numFmtId="166" fontId="5" fillId="0" borderId="6" xfId="0" applyNumberFormat="1" applyFont="1" applyBorder="1" applyAlignment="1">
      <alignment horizontal="center" vertical="top"/>
    </xf>
    <xf numFmtId="166" fontId="5" fillId="10" borderId="25" xfId="0" applyNumberFormat="1" applyFont="1" applyFill="1" applyBorder="1" applyAlignment="1">
      <alignment horizontal="center"/>
    </xf>
    <xf numFmtId="0" fontId="33" fillId="0" borderId="8" xfId="0" applyFont="1" applyBorder="1"/>
    <xf numFmtId="0" fontId="1" fillId="3" borderId="0" xfId="0" applyFont="1" applyFill="1"/>
    <xf numFmtId="0" fontId="1" fillId="8" borderId="13" xfId="0" applyFont="1" applyFill="1" applyBorder="1"/>
    <xf numFmtId="0" fontId="1" fillId="8" borderId="0" xfId="0" applyFont="1" applyFill="1"/>
    <xf numFmtId="0" fontId="1" fillId="8" borderId="15" xfId="0" applyFont="1" applyFill="1" applyBorder="1"/>
    <xf numFmtId="0" fontId="1" fillId="8" borderId="15" xfId="0" applyFont="1" applyFill="1" applyBorder="1" applyAlignment="1">
      <alignment wrapText="1"/>
    </xf>
    <xf numFmtId="0" fontId="1" fillId="8" borderId="15" xfId="0" quotePrefix="1" applyFont="1" applyFill="1" applyBorder="1" applyAlignment="1">
      <alignment wrapText="1"/>
    </xf>
    <xf numFmtId="170" fontId="1" fillId="8" borderId="15" xfId="0" applyNumberFormat="1" applyFont="1" applyFill="1" applyBorder="1" applyAlignment="1">
      <alignment horizontal="left" wrapText="1"/>
    </xf>
    <xf numFmtId="171" fontId="1" fillId="8" borderId="1" xfId="1" applyNumberFormat="1" applyFont="1" applyFill="1" applyBorder="1" applyAlignment="1">
      <alignment horizontal="left" vertical="center"/>
    </xf>
    <xf numFmtId="17" fontId="1" fillId="8" borderId="15" xfId="0" applyNumberFormat="1" applyFont="1" applyFill="1" applyBorder="1" applyAlignment="1">
      <alignment horizontal="left" wrapText="1"/>
    </xf>
    <xf numFmtId="0" fontId="1" fillId="8" borderId="0" xfId="0" applyFont="1" applyFill="1" applyAlignment="1">
      <alignment wrapText="1"/>
    </xf>
    <xf numFmtId="0" fontId="1" fillId="8" borderId="15" xfId="0" applyFont="1" applyFill="1" applyBorder="1" applyAlignment="1">
      <alignment horizontal="left" vertical="center"/>
    </xf>
    <xf numFmtId="0" fontId="1" fillId="8" borderId="0" xfId="0" applyFont="1" applyFill="1" applyAlignment="1">
      <alignment horizontal="left" vertical="center"/>
    </xf>
    <xf numFmtId="0" fontId="1" fillId="8" borderId="1" xfId="0" applyFont="1" applyFill="1" applyBorder="1" applyAlignment="1">
      <alignment vertical="center" wrapText="1"/>
    </xf>
    <xf numFmtId="166" fontId="1" fillId="8" borderId="1" xfId="0" applyNumberFormat="1" applyFont="1" applyFill="1" applyBorder="1" applyAlignment="1">
      <alignment horizontal="left" wrapText="1"/>
    </xf>
    <xf numFmtId="0" fontId="1" fillId="8" borderId="13" xfId="0" applyFont="1" applyFill="1" applyBorder="1" applyAlignment="1">
      <alignment horizontal="left" vertical="center"/>
    </xf>
    <xf numFmtId="0" fontId="1" fillId="0" borderId="0" xfId="0" applyFont="1"/>
    <xf numFmtId="0" fontId="1" fillId="0" borderId="1" xfId="0" applyFont="1" applyBorder="1" applyAlignment="1">
      <alignment wrapText="1"/>
    </xf>
    <xf numFmtId="9" fontId="1" fillId="3" borderId="1" xfId="3" applyFont="1" applyFill="1" applyBorder="1" applyAlignment="1">
      <alignment horizontal="center"/>
    </xf>
    <xf numFmtId="0" fontId="1" fillId="0" borderId="0" xfId="0" applyFont="1" applyAlignment="1">
      <alignment wrapText="1"/>
    </xf>
    <xf numFmtId="0" fontId="31" fillId="0" borderId="0" xfId="0" applyFont="1" applyAlignment="1">
      <alignment horizontal="left" vertical="center"/>
    </xf>
    <xf numFmtId="0" fontId="25" fillId="0" borderId="0" xfId="5" applyFont="1" applyAlignment="1">
      <alignment horizontal="left"/>
    </xf>
    <xf numFmtId="0" fontId="25" fillId="0" borderId="9" xfId="0" applyFont="1" applyBorder="1"/>
    <xf numFmtId="0" fontId="31" fillId="0" borderId="1" xfId="0" applyFont="1" applyBorder="1" applyAlignment="1">
      <alignment horizontal="left"/>
    </xf>
    <xf numFmtId="3" fontId="31" fillId="0" borderId="1" xfId="0" applyNumberFormat="1" applyFont="1" applyBorder="1" applyAlignment="1">
      <alignment horizontal="center"/>
    </xf>
    <xf numFmtId="0" fontId="31" fillId="11" borderId="6" xfId="0" applyFont="1" applyFill="1" applyBorder="1" applyAlignment="1">
      <alignment horizontal="left" vertical="center"/>
    </xf>
    <xf numFmtId="0" fontId="1" fillId="0" borderId="1" xfId="0" applyFont="1" applyBorder="1"/>
    <xf numFmtId="0" fontId="1" fillId="0" borderId="9" xfId="0" applyFont="1" applyBorder="1"/>
    <xf numFmtId="174" fontId="1" fillId="12" borderId="1" xfId="0" applyNumberFormat="1" applyFont="1" applyFill="1" applyBorder="1" applyAlignment="1">
      <alignment horizontal="center" vertical="center"/>
    </xf>
    <xf numFmtId="174" fontId="1" fillId="0" borderId="1" xfId="0" applyNumberFormat="1" applyFont="1" applyBorder="1" applyAlignment="1">
      <alignment horizontal="center" vertical="center"/>
    </xf>
    <xf numFmtId="174" fontId="1" fillId="0" borderId="2" xfId="0" applyNumberFormat="1" applyFont="1" applyBorder="1" applyAlignment="1">
      <alignment horizontal="center" vertical="center"/>
    </xf>
    <xf numFmtId="0" fontId="1" fillId="0" borderId="1" xfId="0" applyFont="1" applyBorder="1" applyAlignment="1">
      <alignment horizontal="center" vertical="center"/>
    </xf>
    <xf numFmtId="3" fontId="1" fillId="6" borderId="1" xfId="0" applyNumberFormat="1" applyFont="1" applyFill="1" applyBorder="1" applyAlignment="1">
      <alignment horizontal="center"/>
    </xf>
    <xf numFmtId="3" fontId="1" fillId="0" borderId="1" xfId="0" applyNumberFormat="1" applyFont="1" applyBorder="1" applyAlignment="1">
      <alignment horizontal="center"/>
    </xf>
    <xf numFmtId="0" fontId="1" fillId="0" borderId="19" xfId="0" applyFont="1" applyBorder="1"/>
    <xf numFmtId="3" fontId="1" fillId="0" borderId="0" xfId="0" applyNumberFormat="1" applyFont="1"/>
    <xf numFmtId="173" fontId="1" fillId="0" borderId="1" xfId="0" applyNumberFormat="1" applyFont="1" applyBorder="1" applyAlignment="1">
      <alignment horizontal="center"/>
    </xf>
    <xf numFmtId="3" fontId="1" fillId="6" borderId="1" xfId="0" applyNumberFormat="1" applyFont="1" applyFill="1" applyBorder="1" applyAlignment="1">
      <alignment horizontal="center" vertical="center"/>
    </xf>
    <xf numFmtId="5" fontId="1" fillId="0" borderId="0" xfId="0" applyNumberFormat="1" applyFont="1" applyAlignment="1">
      <alignment horizontal="left" vertical="center"/>
    </xf>
    <xf numFmtId="164" fontId="1" fillId="0" borderId="8" xfId="0" applyNumberFormat="1" applyFont="1" applyBorder="1"/>
    <xf numFmtId="0" fontId="1" fillId="0" borderId="20" xfId="0" applyFont="1" applyBorder="1"/>
    <xf numFmtId="2" fontId="1" fillId="0" borderId="0" xfId="0" applyNumberFormat="1" applyFont="1"/>
    <xf numFmtId="9" fontId="1" fillId="0" borderId="0" xfId="0" applyNumberFormat="1" applyFont="1"/>
    <xf numFmtId="0" fontId="19" fillId="3" borderId="19" xfId="0" applyFont="1" applyFill="1" applyBorder="1"/>
    <xf numFmtId="9" fontId="25" fillId="0" borderId="1" xfId="0" applyNumberFormat="1" applyFont="1" applyBorder="1" applyAlignment="1">
      <alignment horizontal="center"/>
    </xf>
    <xf numFmtId="3" fontId="25" fillId="0" borderId="1" xfId="0" applyNumberFormat="1" applyFont="1" applyBorder="1" applyAlignment="1">
      <alignment horizontal="center"/>
    </xf>
    <xf numFmtId="9" fontId="25" fillId="0" borderId="1" xfId="0" applyNumberFormat="1" applyFont="1" applyBorder="1" applyAlignment="1">
      <alignment horizontal="left"/>
    </xf>
    <xf numFmtId="0" fontId="1" fillId="0" borderId="6" xfId="0" applyFont="1" applyBorder="1"/>
    <xf numFmtId="9" fontId="1" fillId="0" borderId="6" xfId="0" applyNumberFormat="1" applyFont="1" applyBorder="1"/>
    <xf numFmtId="9" fontId="1" fillId="0" borderId="6" xfId="0" applyNumberFormat="1" applyFont="1" applyBorder="1" applyAlignment="1">
      <alignment horizontal="right"/>
    </xf>
    <xf numFmtId="3" fontId="1" fillId="0" borderId="8" xfId="0" applyNumberFormat="1" applyFont="1" applyBorder="1" applyAlignment="1">
      <alignment horizontal="center"/>
    </xf>
    <xf numFmtId="3" fontId="1" fillId="10" borderId="8" xfId="0" applyNumberFormat="1" applyFont="1" applyFill="1" applyBorder="1" applyAlignment="1">
      <alignment horizontal="center"/>
    </xf>
    <xf numFmtId="3" fontId="1" fillId="0" borderId="20" xfId="0" applyNumberFormat="1" applyFont="1" applyBorder="1" applyAlignment="1">
      <alignment horizontal="center"/>
    </xf>
    <xf numFmtId="166" fontId="1" fillId="0" borderId="0" xfId="0" applyNumberFormat="1" applyFont="1" applyAlignment="1">
      <alignment horizontal="center"/>
    </xf>
    <xf numFmtId="166" fontId="1" fillId="0" borderId="9" xfId="0" applyNumberFormat="1" applyFont="1" applyBorder="1" applyAlignment="1">
      <alignment horizontal="center"/>
    </xf>
    <xf numFmtId="9" fontId="1" fillId="10" borderId="9" xfId="0" applyNumberFormat="1" applyFont="1" applyFill="1" applyBorder="1"/>
    <xf numFmtId="166" fontId="1" fillId="10" borderId="0" xfId="0" applyNumberFormat="1" applyFont="1" applyFill="1" applyAlignment="1">
      <alignment horizontal="center"/>
    </xf>
    <xf numFmtId="9" fontId="1" fillId="0" borderId="9" xfId="0" applyNumberFormat="1" applyFont="1" applyBorder="1"/>
    <xf numFmtId="0" fontId="1" fillId="0" borderId="0" xfId="0" applyFont="1" applyAlignment="1">
      <alignment horizontal="center" vertical="center"/>
    </xf>
    <xf numFmtId="9" fontId="1" fillId="0" borderId="24" xfId="0" applyNumberFormat="1" applyFont="1" applyBorder="1" applyAlignment="1">
      <alignment horizontal="center" vertical="center"/>
    </xf>
    <xf numFmtId="9" fontId="1" fillId="0" borderId="9" xfId="0" applyNumberFormat="1" applyFont="1" applyBorder="1" applyAlignment="1">
      <alignment horizontal="center" vertical="center"/>
    </xf>
    <xf numFmtId="9" fontId="1" fillId="10" borderId="9" xfId="0" applyNumberFormat="1" applyFont="1" applyFill="1" applyBorder="1" applyAlignment="1">
      <alignment horizontal="center" vertical="center"/>
    </xf>
    <xf numFmtId="0" fontId="1" fillId="0" borderId="20" xfId="0" applyFont="1" applyBorder="1" applyAlignment="1">
      <alignment horizontal="center" vertical="center" wrapText="1"/>
    </xf>
    <xf numFmtId="166" fontId="1" fillId="0" borderId="0" xfId="0" applyNumberFormat="1" applyFont="1"/>
    <xf numFmtId="0" fontId="1" fillId="0" borderId="1" xfId="0" applyFont="1" applyBorder="1" applyAlignment="1">
      <alignment vertical="center" wrapText="1"/>
    </xf>
    <xf numFmtId="172" fontId="1" fillId="0" borderId="1" xfId="0" applyNumberFormat="1" applyFont="1" applyBorder="1" applyAlignment="1">
      <alignment horizontal="center" vertical="center"/>
    </xf>
    <xf numFmtId="3" fontId="1" fillId="0" borderId="1" xfId="0" applyNumberFormat="1" applyFont="1" applyBorder="1" applyAlignment="1">
      <alignment horizontal="center" vertical="center"/>
    </xf>
    <xf numFmtId="0" fontId="1" fillId="0" borderId="1" xfId="0" applyFont="1" applyBorder="1" applyAlignment="1">
      <alignment horizontal="left"/>
    </xf>
    <xf numFmtId="173" fontId="1" fillId="0" borderId="1" xfId="1" applyNumberFormat="1" applyFont="1" applyBorder="1" applyAlignment="1">
      <alignment horizontal="center"/>
    </xf>
    <xf numFmtId="0" fontId="1" fillId="0" borderId="1" xfId="0" applyFont="1" applyBorder="1" applyAlignment="1">
      <alignment vertical="center"/>
    </xf>
    <xf numFmtId="0" fontId="1" fillId="0" borderId="1" xfId="0" applyFont="1" applyBorder="1" applyAlignment="1">
      <alignment horizontal="left" vertical="center"/>
    </xf>
    <xf numFmtId="0" fontId="1" fillId="0" borderId="4" xfId="0" applyFont="1" applyBorder="1" applyAlignment="1">
      <alignment horizontal="left"/>
    </xf>
    <xf numFmtId="0" fontId="1" fillId="0" borderId="5" xfId="0" applyFont="1" applyBorder="1" applyAlignment="1">
      <alignment horizontal="left"/>
    </xf>
    <xf numFmtId="0" fontId="0" fillId="0" borderId="4" xfId="0" applyBorder="1" applyAlignment="1">
      <alignment horizontal="center"/>
    </xf>
    <xf numFmtId="0" fontId="0" fillId="0" borderId="5" xfId="0" applyBorder="1" applyAlignment="1">
      <alignment horizontal="center"/>
    </xf>
    <xf numFmtId="0" fontId="0" fillId="8" borderId="9" xfId="0" applyFill="1" applyBorder="1" applyAlignment="1">
      <alignment horizontal="left"/>
    </xf>
    <xf numFmtId="0" fontId="24" fillId="9" borderId="0" xfId="5" applyFont="1" applyFill="1" applyAlignment="1">
      <alignment horizontal="center" vertical="center"/>
    </xf>
    <xf numFmtId="0" fontId="18" fillId="9" borderId="0" xfId="5" applyFont="1" applyFill="1" applyAlignment="1">
      <alignment horizontal="center" vertical="center"/>
    </xf>
    <xf numFmtId="0" fontId="1" fillId="8" borderId="4" xfId="0" applyFont="1" applyFill="1" applyBorder="1" applyAlignment="1">
      <alignment horizontal="left" vertical="center" wrapText="1"/>
    </xf>
    <xf numFmtId="0" fontId="1" fillId="8" borderId="22" xfId="0" applyFont="1" applyFill="1" applyBorder="1" applyAlignment="1">
      <alignment horizontal="left" vertical="center" wrapText="1"/>
    </xf>
    <xf numFmtId="0" fontId="1" fillId="8" borderId="3"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41" fillId="8" borderId="0" xfId="4" applyFont="1" applyFill="1" applyBorder="1" applyAlignment="1">
      <alignment horizontal="center" vertical="center"/>
    </xf>
    <xf numFmtId="0" fontId="5" fillId="3" borderId="0" xfId="4" applyFont="1" applyFill="1" applyBorder="1" applyAlignment="1">
      <alignment horizontal="center" vertical="center"/>
    </xf>
    <xf numFmtId="166" fontId="1" fillId="12" borderId="0" xfId="0" quotePrefix="1" applyNumberFormat="1" applyFont="1" applyFill="1" applyAlignment="1">
      <alignment horizontal="center" vertical="center"/>
    </xf>
    <xf numFmtId="0" fontId="1" fillId="0" borderId="0" xfId="0" applyFont="1" applyAlignment="1">
      <alignment horizontal="center" vertical="center" textRotation="90" wrapText="1"/>
    </xf>
    <xf numFmtId="0" fontId="1" fillId="0" borderId="9" xfId="0" applyFont="1" applyBorder="1" applyAlignment="1">
      <alignment horizontal="center" wrapText="1"/>
    </xf>
    <xf numFmtId="0" fontId="1" fillId="0" borderId="20" xfId="0" applyFont="1" applyBorder="1" applyAlignment="1">
      <alignment horizontal="center" wrapText="1"/>
    </xf>
    <xf numFmtId="0" fontId="1" fillId="0" borderId="0" xfId="0" applyFont="1" applyAlignment="1">
      <alignment horizontal="left" wrapText="1"/>
    </xf>
    <xf numFmtId="0" fontId="1" fillId="0" borderId="0" xfId="0" applyFont="1" applyAlignment="1">
      <alignment horizontal="center"/>
    </xf>
    <xf numFmtId="0" fontId="1" fillId="0" borderId="9" xfId="0" applyFont="1" applyBorder="1" applyAlignment="1">
      <alignment horizontal="center"/>
    </xf>
    <xf numFmtId="0" fontId="1" fillId="0" borderId="0" xfId="0" applyFont="1" applyAlignment="1">
      <alignment horizontal="left" vertical="top" wrapText="1"/>
    </xf>
    <xf numFmtId="0" fontId="25" fillId="0" borderId="0" xfId="0" applyFont="1" applyAlignment="1">
      <alignment horizontal="left" vertical="top" wrapText="1"/>
    </xf>
  </cellXfs>
  <cellStyles count="6">
    <cellStyle name="Eingabe" xfId="4" builtinId="20"/>
    <cellStyle name="Hyperlink" xfId="2" xr:uid="{00000000-000B-0000-0000-000008000000}"/>
    <cellStyle name="Komma" xfId="1" builtinId="3"/>
    <cellStyle name="Normal 3" xfId="5" xr:uid="{791409E8-066B-4291-8126-D4874143ECBF}"/>
    <cellStyle name="Prozent" xfId="3" builtinId="5"/>
    <cellStyle name="Standard" xfId="0" builtinId="0"/>
  </cellStyles>
  <dxfs count="16">
    <dxf>
      <font>
        <color rgb="FF9C0006"/>
      </font>
    </dxf>
    <dxf>
      <font>
        <color rgb="FF9C0006"/>
      </font>
    </dxf>
    <dxf>
      <font>
        <color rgb="FF9C0006"/>
      </font>
    </dxf>
    <dxf>
      <font>
        <color rgb="FF9C0006"/>
      </font>
    </dxf>
    <dxf>
      <font>
        <color rgb="FF9C0006"/>
      </font>
    </dxf>
    <dxf>
      <font>
        <color rgb="FFC00000"/>
      </font>
    </dxf>
    <dxf>
      <font>
        <color rgb="FF9C0006"/>
      </font>
    </dxf>
    <dxf>
      <font>
        <color rgb="FF9C0006"/>
      </font>
    </dxf>
    <dxf>
      <font>
        <color rgb="FF9C0006"/>
      </font>
    </dxf>
    <dxf>
      <font>
        <color rgb="FF9C0006"/>
      </font>
    </dxf>
    <dxf>
      <font>
        <color theme="0"/>
      </font>
      <fill>
        <patternFill>
          <bgColor rgb="FFB4463C"/>
        </patternFill>
      </fill>
    </dxf>
    <dxf>
      <fill>
        <patternFill>
          <bgColor rgb="FFE1BE6E"/>
        </patternFill>
      </fill>
    </dxf>
    <dxf>
      <fill>
        <patternFill>
          <bgColor rgb="FF96B473"/>
        </patternFill>
      </fill>
    </dxf>
    <dxf>
      <font>
        <color theme="0"/>
      </font>
      <fill>
        <patternFill>
          <bgColor rgb="FFB4463C"/>
        </patternFill>
      </fill>
    </dxf>
    <dxf>
      <fill>
        <patternFill>
          <bgColor rgb="FFE1BE6E"/>
        </patternFill>
      </fill>
    </dxf>
    <dxf>
      <fill>
        <patternFill>
          <bgColor rgb="FF96B473"/>
        </patternFill>
      </fill>
    </dxf>
  </dxfs>
  <tableStyles count="0" defaultTableStyle="TableStyleMedium2" defaultPivotStyle="PivotStyleLight16"/>
  <colors>
    <mruColors>
      <color rgb="FFCDD2B4"/>
      <color rgb="FFF0D7AA"/>
      <color rgb="FFBED2E1"/>
      <color rgb="FFDCA591"/>
      <color rgb="FF8CA0C3"/>
      <color rgb="FF8B9FC2"/>
      <color rgb="FFBDD1E0"/>
      <color rgb="FFC8AF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r>
              <a:rPr lang="en-US" sz="1400" b="1" i="0" u="none" strike="noStrike" kern="1200" spc="0" baseline="0">
                <a:solidFill>
                  <a:sysClr val="windowText" lastClr="000000"/>
                </a:solidFill>
                <a:latin typeface="Pero" panose="020F0506020203030304" pitchFamily="34" charset="0"/>
              </a:rPr>
              <a:t>Present Value vs. Costs per Household (in real 2021 EUR)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Pero" panose="020F0506020203030304" pitchFamily="34" charset="0"/>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DD2B4"/>
              </a:solidFill>
              <a:ln>
                <a:noFill/>
              </a:ln>
              <a:effectLst/>
            </c:spPr>
            <c:extLst>
              <c:ext xmlns:c16="http://schemas.microsoft.com/office/drawing/2014/chart" uri="{C3380CC4-5D6E-409C-BE32-E72D297353CC}">
                <c16:uniqueId val="{00000001-B241-4E89-8F40-FA5F9E39D2AF}"/>
              </c:ext>
            </c:extLst>
          </c:dPt>
          <c:dPt>
            <c:idx val="1"/>
            <c:invertIfNegative val="0"/>
            <c:bubble3D val="0"/>
            <c:spPr>
              <a:solidFill>
                <a:srgbClr val="DCA591"/>
              </a:solidFill>
              <a:ln>
                <a:noFill/>
              </a:ln>
              <a:effectLst/>
            </c:spPr>
            <c:extLst>
              <c:ext xmlns:c16="http://schemas.microsoft.com/office/drawing/2014/chart" uri="{C3380CC4-5D6E-409C-BE32-E72D297353CC}">
                <c16:uniqueId val="{00000003-B241-4E89-8F40-FA5F9E39D2AF}"/>
              </c:ext>
            </c:extLst>
          </c:dPt>
          <c:dPt>
            <c:idx val="2"/>
            <c:invertIfNegative val="0"/>
            <c:bubble3D val="0"/>
            <c:spPr>
              <a:solidFill>
                <a:srgbClr val="BED2E1"/>
              </a:solidFill>
              <a:ln>
                <a:noFill/>
              </a:ln>
              <a:effectLst/>
            </c:spPr>
            <c:extLst>
              <c:ext xmlns:c16="http://schemas.microsoft.com/office/drawing/2014/chart" uri="{C3380CC4-5D6E-409C-BE32-E72D297353CC}">
                <c16:uniqueId val="{00000004-6E3E-4C09-B167-53DC6B77C6F2}"/>
              </c:ext>
            </c:extLst>
          </c:dPt>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Summary!$B$50:$B$52</c:f>
              <c:strCache>
                <c:ptCount val="3"/>
                <c:pt idx="0">
                  <c:v>PV per HH</c:v>
                </c:pt>
                <c:pt idx="1">
                  <c:v>Costs per HH</c:v>
                </c:pt>
                <c:pt idx="2">
                  <c:v>NPV per HH</c:v>
                </c:pt>
              </c:strCache>
            </c:strRef>
          </c:cat>
          <c:val>
            <c:numRef>
              <c:f>Summary!$C$50:$C$52</c:f>
              <c:numCache>
                <c:formatCode>_-* #,##0\ [$€-407]_-;\-* #,##0\ [$€-407]_-;_-* "-"\ [$€-407]_-;_-@_-</c:formatCode>
                <c:ptCount val="3"/>
                <c:pt idx="0">
                  <c:v>749.30889365336827</c:v>
                </c:pt>
                <c:pt idx="1">
                  <c:v>120.8117738368758</c:v>
                </c:pt>
                <c:pt idx="2">
                  <c:v>628.4971198164925</c:v>
                </c:pt>
              </c:numCache>
            </c:numRef>
          </c:val>
          <c:extLst>
            <c:ext xmlns:c16="http://schemas.microsoft.com/office/drawing/2014/chart" uri="{C3380CC4-5D6E-409C-BE32-E72D297353CC}">
              <c16:uniqueId val="{00000008-B241-4E89-8F40-FA5F9E39D2AF}"/>
            </c:ext>
          </c:extLst>
        </c:ser>
        <c:dLbls>
          <c:showLegendKey val="0"/>
          <c:showVal val="0"/>
          <c:showCatName val="0"/>
          <c:showSerName val="0"/>
          <c:showPercent val="0"/>
          <c:showBubbleSize val="0"/>
        </c:dLbls>
        <c:gapWidth val="100"/>
        <c:axId val="1235029696"/>
        <c:axId val="1235044816"/>
      </c:barChart>
      <c:catAx>
        <c:axId val="123502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44816"/>
        <c:crosses val="autoZero"/>
        <c:auto val="1"/>
        <c:lblAlgn val="ctr"/>
        <c:lblOffset val="100"/>
        <c:noMultiLvlLbl val="0"/>
      </c:catAx>
      <c:valAx>
        <c:axId val="1235044816"/>
        <c:scaling>
          <c:orientation val="minMax"/>
        </c:scaling>
        <c:delete val="0"/>
        <c:axPos val="l"/>
        <c:majorGridlines>
          <c:spPr>
            <a:ln w="9525" cap="flat" cmpd="sng" algn="ctr">
              <a:solidFill>
                <a:schemeClr val="tx1">
                  <a:lumMod val="15000"/>
                  <a:lumOff val="85000"/>
                </a:schemeClr>
              </a:solidFill>
              <a:round/>
            </a:ln>
            <a:effectLst/>
          </c:spPr>
        </c:majorGridlines>
        <c:numFmt formatCode="_-* #,##0\ [$€-407]_-;\-* #,##0\ [$€-407]_-;_-* &quot;-&quot;\ [$€-40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12350296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Pero" panose="020F05060202030303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ysClr val="windowText" lastClr="000000"/>
                </a:solidFill>
                <a:latin typeface="Pero" panose="020F0506020203030304" pitchFamily="34" charset="0"/>
              </a:rPr>
              <a:t>Present</a:t>
            </a:r>
            <a:r>
              <a:rPr lang="en-US" b="1" baseline="0">
                <a:solidFill>
                  <a:sysClr val="windowText" lastClr="000000"/>
                </a:solidFill>
                <a:latin typeface="Pero" panose="020F0506020203030304" pitchFamily="34" charset="0"/>
              </a:rPr>
              <a:t> Value vs. Costs (in real 2021 EUR)</a:t>
            </a:r>
            <a:endParaRPr lang="en-US" b="1">
              <a:solidFill>
                <a:sysClr val="windowText" lastClr="000000"/>
              </a:solidFill>
              <a:latin typeface="Pero" panose="020F05060202030303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CDD2B4"/>
              </a:solidFill>
              <a:ln>
                <a:noFill/>
              </a:ln>
              <a:effectLst/>
            </c:spPr>
            <c:extLst>
              <c:ext xmlns:c16="http://schemas.microsoft.com/office/drawing/2014/chart" uri="{C3380CC4-5D6E-409C-BE32-E72D297353CC}">
                <c16:uniqueId val="{00000001-0A30-4B3A-9620-44F5A03BC599}"/>
              </c:ext>
            </c:extLst>
          </c:dPt>
          <c:dPt>
            <c:idx val="1"/>
            <c:invertIfNegative val="0"/>
            <c:bubble3D val="0"/>
            <c:spPr>
              <a:solidFill>
                <a:srgbClr val="DCA591"/>
              </a:solidFill>
              <a:ln>
                <a:noFill/>
              </a:ln>
              <a:effectLst/>
            </c:spPr>
            <c:extLst>
              <c:ext xmlns:c16="http://schemas.microsoft.com/office/drawing/2014/chart" uri="{C3380CC4-5D6E-409C-BE32-E72D297353CC}">
                <c16:uniqueId val="{00000002-0A30-4B3A-9620-44F5A03BC599}"/>
              </c:ext>
            </c:extLst>
          </c:dPt>
          <c:dPt>
            <c:idx val="2"/>
            <c:invertIfNegative val="0"/>
            <c:bubble3D val="0"/>
            <c:spPr>
              <a:solidFill>
                <a:srgbClr val="BED2E1"/>
              </a:solidFill>
              <a:ln>
                <a:noFill/>
              </a:ln>
              <a:effectLst/>
            </c:spPr>
            <c:extLst>
              <c:ext xmlns:c16="http://schemas.microsoft.com/office/drawing/2014/chart" uri="{C3380CC4-5D6E-409C-BE32-E72D297353CC}">
                <c16:uniqueId val="{00000003-0A30-4B3A-9620-44F5A03BC59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Pero" panose="020F05060202030303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Summary!$F$50:$F$52</c:f>
              <c:strCache>
                <c:ptCount val="3"/>
                <c:pt idx="0">
                  <c:v>Present Value </c:v>
                </c:pt>
                <c:pt idx="1">
                  <c:v>Project Costs discounted</c:v>
                </c:pt>
                <c:pt idx="2">
                  <c:v>Net Present Value </c:v>
                </c:pt>
              </c:strCache>
            </c:strRef>
          </c:cat>
          <c:val>
            <c:numRef>
              <c:f>Summary!$G$50:$G$52</c:f>
              <c:numCache>
                <c:formatCode>#,##0\ "€"</c:formatCode>
                <c:ptCount val="3"/>
                <c:pt idx="0">
                  <c:v>20680925.464832965</c:v>
                </c:pt>
                <c:pt idx="1">
                  <c:v>3334404.9578977721</c:v>
                </c:pt>
                <c:pt idx="2">
                  <c:v>17346520.506935194</c:v>
                </c:pt>
              </c:numCache>
            </c:numRef>
          </c:val>
          <c:extLst>
            <c:ext xmlns:c16="http://schemas.microsoft.com/office/drawing/2014/chart" uri="{C3380CC4-5D6E-409C-BE32-E72D297353CC}">
              <c16:uniqueId val="{00000000-0A30-4B3A-9620-44F5A03BC599}"/>
            </c:ext>
          </c:extLst>
        </c:ser>
        <c:dLbls>
          <c:showLegendKey val="0"/>
          <c:showVal val="0"/>
          <c:showCatName val="0"/>
          <c:showSerName val="0"/>
          <c:showPercent val="0"/>
          <c:showBubbleSize val="0"/>
        </c:dLbls>
        <c:gapWidth val="219"/>
        <c:overlap val="-27"/>
        <c:axId val="967025992"/>
        <c:axId val="967027432"/>
      </c:barChart>
      <c:catAx>
        <c:axId val="967025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967027432"/>
        <c:crosses val="autoZero"/>
        <c:auto val="1"/>
        <c:lblAlgn val="ctr"/>
        <c:lblOffset val="100"/>
        <c:noMultiLvlLbl val="0"/>
      </c:catAx>
      <c:valAx>
        <c:axId val="967027432"/>
        <c:scaling>
          <c:orientation val="minMax"/>
        </c:scaling>
        <c:delete val="0"/>
        <c:axPos val="l"/>
        <c:majorGridlines>
          <c:spPr>
            <a:ln w="9525" cap="flat" cmpd="sng" algn="ctr">
              <a:solidFill>
                <a:schemeClr val="tx1">
                  <a:lumMod val="15000"/>
                  <a:lumOff val="85000"/>
                </a:schemeClr>
              </a:solidFill>
              <a:round/>
            </a:ln>
            <a:effectLst/>
          </c:spPr>
        </c:majorGridlines>
        <c:numFmt formatCode="#,##0\ &quot;€&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Pero" panose="020F0506020203030304" pitchFamily="34" charset="0"/>
                <a:ea typeface="+mn-ea"/>
                <a:cs typeface="+mn-cs"/>
              </a:defRPr>
            </a:pPr>
            <a:endParaRPr lang="en-US"/>
          </a:p>
        </c:txPr>
        <c:crossAx val="9670259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0">
                <a:solidFill>
                  <a:sysClr val="windowText" lastClr="000000"/>
                </a:solidFill>
                <a:latin typeface="Pero" panose="020F0506020203030304" pitchFamily="34" charset="0"/>
              </a:rPr>
              <a:t>SROI under different discount rates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047985849594888"/>
          <c:y val="0.25463189247745149"/>
          <c:w val="0.82607532545053941"/>
          <c:h val="0.62501970063022072"/>
        </c:manualLayout>
      </c:layout>
      <c:barChart>
        <c:barDir val="bar"/>
        <c:grouping val="clustered"/>
        <c:varyColors val="0"/>
        <c:ser>
          <c:idx val="0"/>
          <c:order val="0"/>
          <c:tx>
            <c:strRef>
              <c:f>'Sensitivity analysis'!$C$13</c:f>
              <c:strCache>
                <c:ptCount val="1"/>
                <c:pt idx="0">
                  <c:v>SROI</c:v>
                </c:pt>
              </c:strCache>
            </c:strRef>
          </c:tx>
          <c:spPr>
            <a:solidFill>
              <a:srgbClr val="BDD1E0"/>
            </a:solidFill>
            <a:ln>
              <a:noFill/>
            </a:ln>
            <a:effectLst/>
          </c:spPr>
          <c:invertIfNegative val="0"/>
          <c:dPt>
            <c:idx val="1"/>
            <c:invertIfNegative val="0"/>
            <c:bubble3D val="0"/>
            <c:spPr>
              <a:solidFill>
                <a:srgbClr val="8B9FC2"/>
              </a:solidFill>
              <a:ln>
                <a:noFill/>
              </a:ln>
              <a:effectLst/>
            </c:spPr>
            <c:extLst>
              <c:ext xmlns:c16="http://schemas.microsoft.com/office/drawing/2014/chart" uri="{C3380CC4-5D6E-409C-BE32-E72D297353CC}">
                <c16:uniqueId val="{00000002-2A7B-40C1-A379-37793EA0978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'Sensitivity analysis'!$B$14:$B$17</c:f>
              <c:numCache>
                <c:formatCode>0%</c:formatCode>
                <c:ptCount val="4"/>
                <c:pt idx="0">
                  <c:v>0.15</c:v>
                </c:pt>
                <c:pt idx="1">
                  <c:v>0.1</c:v>
                </c:pt>
                <c:pt idx="2">
                  <c:v>0.05</c:v>
                </c:pt>
                <c:pt idx="3">
                  <c:v>0</c:v>
                </c:pt>
              </c:numCache>
            </c:numRef>
          </c:cat>
          <c:val>
            <c:numRef>
              <c:f>'Sensitivity analysis'!$C$14:$C$17</c:f>
              <c:numCache>
                <c:formatCode>General</c:formatCode>
                <c:ptCount val="4"/>
                <c:pt idx="0">
                  <c:v>5.2</c:v>
                </c:pt>
                <c:pt idx="1">
                  <c:v>6.2</c:v>
                </c:pt>
                <c:pt idx="2">
                  <c:v>7.5</c:v>
                </c:pt>
                <c:pt idx="3">
                  <c:v>9.1999999999999993</c:v>
                </c:pt>
              </c:numCache>
            </c:numRef>
          </c:val>
          <c:extLst>
            <c:ext xmlns:c16="http://schemas.microsoft.com/office/drawing/2014/chart" uri="{C3380CC4-5D6E-409C-BE32-E72D297353CC}">
              <c16:uniqueId val="{00000000-2A7B-40C1-A379-37793EA09789}"/>
            </c:ext>
          </c:extLst>
        </c:ser>
        <c:dLbls>
          <c:dLblPos val="outEnd"/>
          <c:showLegendKey val="0"/>
          <c:showVal val="1"/>
          <c:showCatName val="0"/>
          <c:showSerName val="0"/>
          <c:showPercent val="0"/>
          <c:showBubbleSize val="0"/>
        </c:dLbls>
        <c:gapWidth val="182"/>
        <c:axId val="1258625608"/>
        <c:axId val="1258621648"/>
      </c:barChart>
      <c:catAx>
        <c:axId val="1258625608"/>
        <c:scaling>
          <c:orientation val="maxMin"/>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solidFill>
                      <a:sysClr val="windowText" lastClr="000000"/>
                    </a:solidFill>
                    <a:latin typeface="Pero" panose="020F0506020203030304" pitchFamily="34" charset="0"/>
                  </a:rPr>
                  <a:t>Discount rate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8621648"/>
        <c:crosses val="autoZero"/>
        <c:auto val="1"/>
        <c:lblAlgn val="ctr"/>
        <c:lblOffset val="100"/>
        <c:noMultiLvlLbl val="0"/>
      </c:catAx>
      <c:valAx>
        <c:axId val="1258621648"/>
        <c:scaling>
          <c:orientation val="minMax"/>
        </c:scaling>
        <c:delete val="1"/>
        <c:axPos val="t"/>
        <c:title>
          <c:tx>
            <c:rich>
              <a:bodyPr rot="0" spcFirstLastPara="1" vertOverflow="ellipsis" vert="horz" wrap="square" anchor="b" anchorCtr="1"/>
              <a:lstStyle/>
              <a:p>
                <a:pPr>
                  <a:defRPr sz="1000" b="0" i="0" u="none" strike="noStrike" kern="1200" baseline="0">
                    <a:solidFill>
                      <a:schemeClr val="tx1">
                        <a:lumMod val="65000"/>
                        <a:lumOff val="35000"/>
                      </a:schemeClr>
                    </a:solidFill>
                    <a:latin typeface="+mn-lt"/>
                    <a:ea typeface="+mn-ea"/>
                    <a:cs typeface="+mn-cs"/>
                  </a:defRPr>
                </a:pPr>
                <a:r>
                  <a:rPr lang="en-US">
                    <a:solidFill>
                      <a:sysClr val="windowText" lastClr="000000"/>
                    </a:solidFill>
                    <a:latin typeface="Pero" panose="020F0506020203030304" pitchFamily="34" charset="0"/>
                  </a:rPr>
                  <a:t>SROI</a:t>
                </a:r>
              </a:p>
            </c:rich>
          </c:tx>
          <c:layout>
            <c:manualLayout>
              <c:xMode val="edge"/>
              <c:yMode val="edge"/>
              <c:x val="0.43873212545756196"/>
              <c:y val="0.90071281368889555"/>
            </c:manualLayout>
          </c:layout>
          <c:overlay val="0"/>
          <c:spPr>
            <a:noFill/>
            <a:ln>
              <a:noFill/>
            </a:ln>
            <a:effectLst/>
          </c:spPr>
          <c:txPr>
            <a:bodyPr rot="0" spcFirstLastPara="1" vertOverflow="ellipsis" vert="horz" wrap="square" anchor="b"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crossAx val="12586256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0" i="0" u="none" strike="noStrike" kern="1200" spc="0" baseline="0">
                <a:solidFill>
                  <a:sysClr val="windowText" lastClr="000000"/>
                </a:solidFill>
                <a:latin typeface="Pero" panose="020F0506020203030304" pitchFamily="34" charset="0"/>
              </a:rPr>
              <a:t>SROI with different non-implementation cost shares deducted from total grant amount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7071667535903731"/>
          <c:y val="0.33143563505822832"/>
          <c:w val="0.7996656617438167"/>
          <c:h val="0.51025549966164785"/>
        </c:manualLayout>
      </c:layout>
      <c:barChart>
        <c:barDir val="bar"/>
        <c:grouping val="clustered"/>
        <c:varyColors val="0"/>
        <c:ser>
          <c:idx val="1"/>
          <c:order val="0"/>
          <c:tx>
            <c:strRef>
              <c:f>'Sensitivity analysis'!$F$13</c:f>
              <c:strCache>
                <c:ptCount val="1"/>
                <c:pt idx="0">
                  <c:v>SROI</c:v>
                </c:pt>
              </c:strCache>
            </c:strRef>
          </c:tx>
          <c:spPr>
            <a:solidFill>
              <a:srgbClr val="BDD1E0"/>
            </a:solidFill>
            <a:ln>
              <a:noFill/>
            </a:ln>
            <a:effectLst/>
          </c:spPr>
          <c:invertIfNegative val="0"/>
          <c:dPt>
            <c:idx val="0"/>
            <c:invertIfNegative val="0"/>
            <c:bubble3D val="0"/>
            <c:spPr>
              <a:solidFill>
                <a:srgbClr val="BDD1E0"/>
              </a:solidFill>
              <a:ln>
                <a:noFill/>
              </a:ln>
              <a:effectLst/>
            </c:spPr>
            <c:extLst>
              <c:ext xmlns:c16="http://schemas.microsoft.com/office/drawing/2014/chart" uri="{C3380CC4-5D6E-409C-BE32-E72D297353CC}">
                <c16:uniqueId val="{00000002-4456-45E7-9F9C-9152534AB864}"/>
              </c:ext>
            </c:extLst>
          </c:dPt>
          <c:dPt>
            <c:idx val="1"/>
            <c:invertIfNegative val="0"/>
            <c:bubble3D val="0"/>
            <c:spPr>
              <a:solidFill>
                <a:srgbClr val="BED2E1"/>
              </a:solidFill>
              <a:ln>
                <a:noFill/>
              </a:ln>
              <a:effectLst/>
            </c:spPr>
            <c:extLst>
              <c:ext xmlns:c16="http://schemas.microsoft.com/office/drawing/2014/chart" uri="{C3380CC4-5D6E-409C-BE32-E72D297353CC}">
                <c16:uniqueId val="{00000003-4456-45E7-9F9C-9152534AB864}"/>
              </c:ext>
            </c:extLst>
          </c:dPt>
          <c:dPt>
            <c:idx val="2"/>
            <c:invertIfNegative val="0"/>
            <c:bubble3D val="0"/>
            <c:spPr>
              <a:solidFill>
                <a:srgbClr val="8CA0C3"/>
              </a:solidFill>
              <a:ln>
                <a:noFill/>
              </a:ln>
              <a:effectLst/>
            </c:spPr>
            <c:extLst>
              <c:ext xmlns:c16="http://schemas.microsoft.com/office/drawing/2014/chart" uri="{C3380CC4-5D6E-409C-BE32-E72D297353CC}">
                <c16:uniqueId val="{00000004-4456-45E7-9F9C-9152534AB86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'Sensitivity analysis'!$E$14:$E$16</c:f>
              <c:numCache>
                <c:formatCode>0%</c:formatCode>
                <c:ptCount val="3"/>
                <c:pt idx="0">
                  <c:v>0.1</c:v>
                </c:pt>
                <c:pt idx="1">
                  <c:v>0.09</c:v>
                </c:pt>
                <c:pt idx="2">
                  <c:v>0</c:v>
                </c:pt>
              </c:numCache>
            </c:numRef>
          </c:cat>
          <c:val>
            <c:numRef>
              <c:f>'Sensitivity analysis'!$F$14:$F$16</c:f>
              <c:numCache>
                <c:formatCode>General</c:formatCode>
                <c:ptCount val="3"/>
                <c:pt idx="0">
                  <c:v>6.9</c:v>
                </c:pt>
                <c:pt idx="1">
                  <c:v>6.8</c:v>
                </c:pt>
                <c:pt idx="2">
                  <c:v>6.2</c:v>
                </c:pt>
              </c:numCache>
            </c:numRef>
          </c:val>
          <c:extLst>
            <c:ext xmlns:c16="http://schemas.microsoft.com/office/drawing/2014/chart" uri="{C3380CC4-5D6E-409C-BE32-E72D297353CC}">
              <c16:uniqueId val="{00000001-4456-45E7-9F9C-9152534AB864}"/>
            </c:ext>
          </c:extLst>
        </c:ser>
        <c:dLbls>
          <c:dLblPos val="outEnd"/>
          <c:showLegendKey val="0"/>
          <c:showVal val="1"/>
          <c:showCatName val="0"/>
          <c:showSerName val="0"/>
          <c:showPercent val="0"/>
          <c:showBubbleSize val="0"/>
        </c:dLbls>
        <c:gapWidth val="182"/>
        <c:axId val="1306450152"/>
        <c:axId val="1306446552"/>
      </c:barChart>
      <c:catAx>
        <c:axId val="1306450152"/>
        <c:scaling>
          <c:orientation val="maxMin"/>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latin typeface="Pero" panose="020F0506020203030304" pitchFamily="34" charset="0"/>
                  </a:rPr>
                  <a:t>Non-implementation cost share</a:t>
                </a:r>
              </a:p>
            </c:rich>
          </c:tx>
          <c:layout>
            <c:manualLayout>
              <c:xMode val="edge"/>
              <c:yMode val="edge"/>
              <c:x val="3.888888888888889E-2"/>
              <c:y val="0.1682067410081015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6446552"/>
        <c:crosses val="autoZero"/>
        <c:auto val="1"/>
        <c:lblAlgn val="ctr"/>
        <c:lblOffset val="100"/>
        <c:noMultiLvlLbl val="0"/>
      </c:catAx>
      <c:valAx>
        <c:axId val="1306446552"/>
        <c:scaling>
          <c:orientation val="minMax"/>
          <c:max val="10"/>
          <c:min val="0"/>
        </c:scaling>
        <c:delete val="1"/>
        <c:axPos val="t"/>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latin typeface="Pero" panose="020F0506020203030304" pitchFamily="34" charset="0"/>
                  </a:rPr>
                  <a:t>SROI</a:t>
                </a:r>
              </a:p>
            </c:rich>
          </c:tx>
          <c:layout>
            <c:manualLayout>
              <c:xMode val="edge"/>
              <c:yMode val="edge"/>
              <c:x val="0.52697115405000872"/>
              <c:y val="0.9006953135933533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crossAx val="13064501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 Id="rId4" Type="http://schemas.openxmlformats.org/officeDocument/2006/relationships/chart" Target="../charts/chart2.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xdr:col>
      <xdr:colOff>149575</xdr:colOff>
      <xdr:row>5</xdr:row>
      <xdr:rowOff>31227</xdr:rowOff>
    </xdr:from>
    <xdr:to>
      <xdr:col>11</xdr:col>
      <xdr:colOff>126144</xdr:colOff>
      <xdr:row>11</xdr:row>
      <xdr:rowOff>276226</xdr:rowOff>
    </xdr:to>
    <xdr:sp macro="" textlink="">
      <xdr:nvSpPr>
        <xdr:cNvPr id="4" name="TextBox 2">
          <a:extLst>
            <a:ext uri="{FF2B5EF4-FFF2-40B4-BE49-F238E27FC236}">
              <a16:creationId xmlns:a16="http://schemas.microsoft.com/office/drawing/2014/main" id="{579F6D4E-D274-4D06-9178-183C09486486}"/>
            </a:ext>
          </a:extLst>
        </xdr:cNvPr>
        <xdr:cNvSpPr txBox="1"/>
      </xdr:nvSpPr>
      <xdr:spPr>
        <a:xfrm>
          <a:off x="7655275" y="1117077"/>
          <a:ext cx="5853494" cy="1378474"/>
        </a:xfrm>
        <a:prstGeom prst="rect">
          <a:avLst/>
        </a:prstGeom>
        <a:solidFill>
          <a:sysClr val="window" lastClr="FFFFFF"/>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a:solidFill>
                <a:schemeClr val="dk1"/>
              </a:solidFill>
              <a:latin typeface="Pero" panose="020F0506020203030304" pitchFamily="34" charset="0"/>
              <a:ea typeface="+mn-ea"/>
              <a:cs typeface="+mn-cs"/>
            </a:rPr>
            <a:t>HWG Summary/Interpretation: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a:solidFill>
                <a:schemeClr val="dk1"/>
              </a:solidFill>
              <a:effectLst/>
              <a:latin typeface="Pero" panose="020F0506020203030304" pitchFamily="34" charset="0"/>
              <a:ea typeface="+mn-ea"/>
              <a:cs typeface="+mn-cs"/>
            </a:rPr>
            <a:t>The model compares the estimated </a:t>
          </a:r>
          <a:r>
            <a:rPr lang="en-US" sz="1000" b="1">
              <a:solidFill>
                <a:schemeClr val="dk1"/>
              </a:solidFill>
              <a:effectLst/>
              <a:latin typeface="Pero" panose="020F0506020203030304" pitchFamily="34" charset="0"/>
              <a:ea typeface="+mn-ea"/>
              <a:cs typeface="+mn-cs"/>
            </a:rPr>
            <a:t>total benefits of 20.7M</a:t>
          </a:r>
          <a:r>
            <a:rPr lang="en-US" sz="1000" b="1" baseline="0">
              <a:solidFill>
                <a:schemeClr val="dk1"/>
              </a:solidFill>
              <a:effectLst/>
              <a:latin typeface="Pero" panose="020F0506020203030304" pitchFamily="34" charset="0"/>
              <a:ea typeface="+mn-ea"/>
              <a:cs typeface="+mn-cs"/>
            </a:rPr>
            <a:t> EUR with the implementation costs of 3.3M EUR </a:t>
          </a:r>
          <a:r>
            <a:rPr lang="en-US" sz="1000" baseline="0">
              <a:solidFill>
                <a:schemeClr val="dk1"/>
              </a:solidFill>
              <a:effectLst/>
              <a:latin typeface="Pero" panose="020F0506020203030304" pitchFamily="34" charset="0"/>
              <a:ea typeface="+mn-ea"/>
              <a:cs typeface="+mn-cs"/>
            </a:rPr>
            <a:t>(values are discounted and deflated to real 2021 EUR).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000">
              <a:solidFill>
                <a:schemeClr val="dk1"/>
              </a:solidFill>
              <a:effectLst/>
              <a:latin typeface="Pero" panose="020F0506020203030304" pitchFamily="34" charset="0"/>
              <a:ea typeface="+mn-ea"/>
              <a:cs typeface="+mn-cs"/>
            </a:rPr>
            <a:t>Under base case assumptions the model shows </a:t>
          </a:r>
          <a:r>
            <a:rPr lang="en-US" sz="1000" b="1">
              <a:solidFill>
                <a:schemeClr val="dk1"/>
              </a:solidFill>
              <a:effectLst/>
              <a:latin typeface="Pero" panose="020F0506020203030304" pitchFamily="34" charset="0"/>
              <a:ea typeface="+mn-ea"/>
              <a:cs typeface="+mn-cs"/>
            </a:rPr>
            <a:t>large positive returns - </a:t>
          </a:r>
          <a:r>
            <a:rPr lang="en-US" sz="1000">
              <a:solidFill>
                <a:schemeClr val="dk1"/>
              </a:solidFill>
              <a:effectLst/>
              <a:latin typeface="Pero" panose="020F0506020203030304" pitchFamily="34" charset="0"/>
              <a:ea typeface="+mn-ea"/>
              <a:cs typeface="+mn-cs"/>
            </a:rPr>
            <a:t>for every EUR invested, </a:t>
          </a:r>
          <a:r>
            <a:rPr lang="en-US" sz="1000" b="1">
              <a:solidFill>
                <a:schemeClr val="dk1"/>
              </a:solidFill>
              <a:effectLst/>
              <a:latin typeface="Pero" panose="020F0506020203030304" pitchFamily="34" charset="0"/>
              <a:ea typeface="+mn-ea"/>
              <a:cs typeface="+mn-cs"/>
            </a:rPr>
            <a:t>6.2 EUR</a:t>
          </a:r>
          <a:r>
            <a:rPr lang="en-US" sz="1000">
              <a:solidFill>
                <a:schemeClr val="dk1"/>
              </a:solidFill>
              <a:effectLst/>
              <a:latin typeface="Pero" panose="020F0506020203030304" pitchFamily="34" charset="0"/>
              <a:ea typeface="+mn-ea"/>
              <a:cs typeface="+mn-cs"/>
            </a:rPr>
            <a:t> additional household income are created.</a:t>
          </a:r>
        </a:p>
        <a:p>
          <a:pPr marL="171450" lvl="0" indent="-171450">
            <a:buFont typeface="Arial" panose="020B0604020202020204" pitchFamily="34" charset="0"/>
            <a:buChar char="•"/>
          </a:pPr>
          <a:r>
            <a:rPr lang="en-US" sz="1000" b="0">
              <a:solidFill>
                <a:schemeClr val="dk1"/>
              </a:solidFill>
              <a:effectLst/>
              <a:latin typeface="Pero" panose="020F0506020203030304" pitchFamily="34" charset="0"/>
              <a:ea typeface="+mn-ea"/>
              <a:cs typeface="+mn-cs"/>
            </a:rPr>
            <a:t>The model uses</a:t>
          </a:r>
          <a:r>
            <a:rPr lang="en-US" sz="1000" b="0" baseline="0">
              <a:solidFill>
                <a:schemeClr val="dk1"/>
              </a:solidFill>
              <a:effectLst/>
              <a:latin typeface="Pero" panose="020F0506020203030304" pitchFamily="34" charset="0"/>
              <a:ea typeface="+mn-ea"/>
              <a:cs typeface="+mn-cs"/>
            </a:rPr>
            <a:t> data from the Laterite baseline sample of coffee-farming households. RTV's own monitoring data sampled from all project participants (including non-coffee-farming households) show much higher levels of deprivation.</a:t>
          </a:r>
        </a:p>
      </xdr:txBody>
    </xdr:sp>
    <xdr:clientData/>
  </xdr:twoCellAnchor>
  <xdr:twoCellAnchor>
    <xdr:from>
      <xdr:col>0</xdr:col>
      <xdr:colOff>276225</xdr:colOff>
      <xdr:row>45</xdr:row>
      <xdr:rowOff>60960</xdr:rowOff>
    </xdr:from>
    <xdr:to>
      <xdr:col>3</xdr:col>
      <xdr:colOff>85725</xdr:colOff>
      <xdr:row>65</xdr:row>
      <xdr:rowOff>51435</xdr:rowOff>
    </xdr:to>
    <xdr:graphicFrame macro="">
      <xdr:nvGraphicFramePr>
        <xdr:cNvPr id="2" name="Chart 7">
          <a:extLst>
            <a:ext uri="{FF2B5EF4-FFF2-40B4-BE49-F238E27FC236}">
              <a16:creationId xmlns:a16="http://schemas.microsoft.com/office/drawing/2014/main" id="{0AD08FCC-103F-4882-A83B-DDFCD7116810}"/>
            </a:ext>
            <a:ext uri="{147F2762-F138-4A5C-976F-8EAC2B608ADB}">
              <a16:predDERef xmlns:a16="http://schemas.microsoft.com/office/drawing/2014/main" pred="{579F6D4E-D274-4D06-9178-183C094864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277785</xdr:colOff>
      <xdr:row>18</xdr:row>
      <xdr:rowOff>201930</xdr:rowOff>
    </xdr:from>
    <xdr:to>
      <xdr:col>11</xdr:col>
      <xdr:colOff>163830</xdr:colOff>
      <xdr:row>25</xdr:row>
      <xdr:rowOff>314325</xdr:rowOff>
    </xdr:to>
    <xdr:sp macro="" textlink="">
      <xdr:nvSpPr>
        <xdr:cNvPr id="5" name="TextBox 2">
          <a:extLst>
            <a:ext uri="{FF2B5EF4-FFF2-40B4-BE49-F238E27FC236}">
              <a16:creationId xmlns:a16="http://schemas.microsoft.com/office/drawing/2014/main" id="{18716EB5-3248-4F4E-B456-59FD62750B1E}"/>
            </a:ext>
          </a:extLst>
        </xdr:cNvPr>
        <xdr:cNvSpPr txBox="1"/>
      </xdr:nvSpPr>
      <xdr:spPr>
        <a:xfrm>
          <a:off x="6678585" y="4469130"/>
          <a:ext cx="6820245" cy="172212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00" b="1" i="0" u="none" strike="noStrike" baseline="0">
              <a:solidFill>
                <a:schemeClr val="dk1"/>
              </a:solidFill>
              <a:latin typeface="Pero" panose="020F0506020203030304" pitchFamily="34" charset="0"/>
              <a:ea typeface="+mn-ea"/>
              <a:cs typeface="+mn-cs"/>
            </a:rPr>
            <a:t>*Level of certainty: Medium</a:t>
          </a:r>
          <a:endParaRPr lang="en-US" sz="1000" b="0" i="0" u="none" strike="noStrike" baseline="0">
            <a:solidFill>
              <a:schemeClr val="dk1"/>
            </a:solidFill>
            <a:latin typeface="Pero" panose="020F0506020203030304" pitchFamily="34" charset="0"/>
            <a:ea typeface="+mn-ea"/>
            <a:cs typeface="+mn-cs"/>
          </a:endParaRPr>
        </a:p>
        <a:p>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Household consumption expenditure measurement in rigorous experimental design. Study conducted in ultra-poor communities in Uganda (districts differ from program intervention districts). RTV program design differed from current design (livestock asset transfer; no coffee focus)</a:t>
          </a:r>
        </a:p>
        <a:p>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Income estimates significant at 5% (p&lt;0.05) with narrow confidence intervals (i.e., CI width &lt; 31% of the point estimate).</a:t>
          </a:r>
        </a:p>
        <a:p>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Empirically gorunded assumptions on expected income increase and long-term income effects of RTV or other graduation  programs.</a:t>
          </a:r>
        </a:p>
        <a:p>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Varying the baseline income or program impact estimates lead to noticeable changes in SROI. Yet, the program remains cost-effective in most sceanrios.</a:t>
          </a:r>
        </a:p>
      </xdr:txBody>
    </xdr:sp>
    <xdr:clientData/>
  </xdr:twoCellAnchor>
  <xdr:twoCellAnchor>
    <xdr:from>
      <xdr:col>3</xdr:col>
      <xdr:colOff>314997</xdr:colOff>
      <xdr:row>29</xdr:row>
      <xdr:rowOff>111723</xdr:rowOff>
    </xdr:from>
    <xdr:to>
      <xdr:col>11</xdr:col>
      <xdr:colOff>171450</xdr:colOff>
      <xdr:row>31</xdr:row>
      <xdr:rowOff>91440</xdr:rowOff>
    </xdr:to>
    <xdr:sp macro="" textlink="">
      <xdr:nvSpPr>
        <xdr:cNvPr id="6" name="TextBox 5">
          <a:extLst>
            <a:ext uri="{FF2B5EF4-FFF2-40B4-BE49-F238E27FC236}">
              <a16:creationId xmlns:a16="http://schemas.microsoft.com/office/drawing/2014/main" id="{BAA10D51-390A-47D6-9C03-A1A3F44C8138}"/>
            </a:ext>
          </a:extLst>
        </xdr:cNvPr>
        <xdr:cNvSpPr txBox="1"/>
      </xdr:nvSpPr>
      <xdr:spPr>
        <a:xfrm>
          <a:off x="6696747" y="6826848"/>
          <a:ext cx="6857328" cy="64646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Excellent</a:t>
          </a:r>
          <a:endParaRPr lang="en-US" sz="1050" b="0" i="0" u="none" strike="noStrike" baseline="0">
            <a:solidFill>
              <a:schemeClr val="dk1"/>
            </a:solidFill>
            <a:latin typeface="Pero" panose="020F0506020203030304" pitchFamily="34" charset="0"/>
            <a:ea typeface="+mn-ea"/>
            <a:cs typeface="+mn-cs"/>
          </a:endParaRPr>
        </a:p>
        <a:p>
          <a:r>
            <a:rPr lang="en-US" sz="1050" b="0" i="0" u="none" strike="noStrike" baseline="0">
              <a:solidFill>
                <a:schemeClr val="dk1"/>
              </a:solidFill>
              <a:latin typeface="Pero" panose="020F0506020203030304" pitchFamily="34" charset="0"/>
              <a:ea typeface="+mn-ea"/>
              <a:cs typeface="+mn-cs"/>
            </a:rPr>
            <a:t>Rigorous design with well-documented, robust methods that effectively address potential biases and support strong causal inferences.</a:t>
          </a:r>
        </a:p>
      </xdr:txBody>
    </xdr:sp>
    <xdr:clientData/>
  </xdr:twoCellAnchor>
  <xdr:twoCellAnchor editAs="oneCell">
    <xdr:from>
      <xdr:col>5</xdr:col>
      <xdr:colOff>862965</xdr:colOff>
      <xdr:row>0</xdr:row>
      <xdr:rowOff>64770</xdr:rowOff>
    </xdr:from>
    <xdr:to>
      <xdr:col>7</xdr:col>
      <xdr:colOff>586977</xdr:colOff>
      <xdr:row>2</xdr:row>
      <xdr:rowOff>133422</xdr:rowOff>
    </xdr:to>
    <xdr:pic>
      <xdr:nvPicPr>
        <xdr:cNvPr id="7" name="Picture 6">
          <a:extLst>
            <a:ext uri="{FF2B5EF4-FFF2-40B4-BE49-F238E27FC236}">
              <a16:creationId xmlns:a16="http://schemas.microsoft.com/office/drawing/2014/main" id="{85187F51-B959-E813-1A09-CCE3B03473BC}"/>
            </a:ext>
          </a:extLst>
        </xdr:cNvPr>
        <xdr:cNvPicPr>
          <a:picLocks noChangeAspect="1"/>
        </xdr:cNvPicPr>
      </xdr:nvPicPr>
      <xdr:blipFill>
        <a:blip xmlns:r="http://schemas.openxmlformats.org/officeDocument/2006/relationships" r:embed="rId2"/>
        <a:stretch>
          <a:fillRect/>
        </a:stretch>
      </xdr:blipFill>
      <xdr:spPr>
        <a:xfrm>
          <a:off x="9616440" y="64770"/>
          <a:ext cx="1705212" cy="516327"/>
        </a:xfrm>
        <a:prstGeom prst="rect">
          <a:avLst/>
        </a:prstGeom>
      </xdr:spPr>
    </xdr:pic>
    <xdr:clientData/>
  </xdr:twoCellAnchor>
  <xdr:twoCellAnchor editAs="oneCell">
    <xdr:from>
      <xdr:col>8</xdr:col>
      <xdr:colOff>228600</xdr:colOff>
      <xdr:row>0</xdr:row>
      <xdr:rowOff>55245</xdr:rowOff>
    </xdr:from>
    <xdr:to>
      <xdr:col>10</xdr:col>
      <xdr:colOff>497206</xdr:colOff>
      <xdr:row>2</xdr:row>
      <xdr:rowOff>135255</xdr:rowOff>
    </xdr:to>
    <xdr:pic>
      <xdr:nvPicPr>
        <xdr:cNvPr id="8" name="Picture 7">
          <a:extLst>
            <a:ext uri="{FF2B5EF4-FFF2-40B4-BE49-F238E27FC236}">
              <a16:creationId xmlns:a16="http://schemas.microsoft.com/office/drawing/2014/main" id="{05F9C4ED-D8D9-47A5-AE3B-C8D72BDBA8E8}"/>
            </a:ext>
          </a:extLst>
        </xdr:cNvPr>
        <xdr:cNvPicPr>
          <a:picLocks noChangeAspect="1"/>
        </xdr:cNvPicPr>
      </xdr:nvPicPr>
      <xdr:blipFill>
        <a:blip xmlns:r="http://schemas.openxmlformats.org/officeDocument/2006/relationships" r:embed="rId3"/>
        <a:stretch>
          <a:fillRect/>
        </a:stretch>
      </xdr:blipFill>
      <xdr:spPr>
        <a:xfrm>
          <a:off x="11591925" y="55245"/>
          <a:ext cx="1525906" cy="533400"/>
        </a:xfrm>
        <a:prstGeom prst="rect">
          <a:avLst/>
        </a:prstGeom>
      </xdr:spPr>
    </xdr:pic>
    <xdr:clientData/>
  </xdr:twoCellAnchor>
  <xdr:twoCellAnchor>
    <xdr:from>
      <xdr:col>3</xdr:col>
      <xdr:colOff>539115</xdr:colOff>
      <xdr:row>45</xdr:row>
      <xdr:rowOff>31432</xdr:rowOff>
    </xdr:from>
    <xdr:to>
      <xdr:col>9</xdr:col>
      <xdr:colOff>622935</xdr:colOff>
      <xdr:row>65</xdr:row>
      <xdr:rowOff>68580</xdr:rowOff>
    </xdr:to>
    <xdr:graphicFrame macro="">
      <xdr:nvGraphicFramePr>
        <xdr:cNvPr id="10" name="Chart 9">
          <a:extLst>
            <a:ext uri="{FF2B5EF4-FFF2-40B4-BE49-F238E27FC236}">
              <a16:creationId xmlns:a16="http://schemas.microsoft.com/office/drawing/2014/main" id="{D439254D-E2CD-232C-5401-367AAE68A6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180975</xdr:rowOff>
    </xdr:from>
    <xdr:to>
      <xdr:col>19</xdr:col>
      <xdr:colOff>553493</xdr:colOff>
      <xdr:row>25</xdr:row>
      <xdr:rowOff>4172</xdr:rowOff>
    </xdr:to>
    <xdr:pic>
      <xdr:nvPicPr>
        <xdr:cNvPr id="2" name="Picture 1">
          <a:extLst>
            <a:ext uri="{FF2B5EF4-FFF2-40B4-BE49-F238E27FC236}">
              <a16:creationId xmlns:a16="http://schemas.microsoft.com/office/drawing/2014/main" id="{6BA4B5B3-051F-49EB-DC08-D7EE1C643BB5}"/>
            </a:ext>
          </a:extLst>
        </xdr:cNvPr>
        <xdr:cNvPicPr>
          <a:picLocks noChangeAspect="1"/>
        </xdr:cNvPicPr>
      </xdr:nvPicPr>
      <xdr:blipFill>
        <a:blip xmlns:r="http://schemas.openxmlformats.org/officeDocument/2006/relationships" r:embed="rId1"/>
        <a:stretch>
          <a:fillRect/>
        </a:stretch>
      </xdr:blipFill>
      <xdr:spPr>
        <a:xfrm>
          <a:off x="95250" y="419100"/>
          <a:ext cx="12402593" cy="4395197"/>
        </a:xfrm>
        <a:prstGeom prst="rect">
          <a:avLst/>
        </a:prstGeom>
      </xdr:spPr>
    </xdr:pic>
    <xdr:clientData/>
  </xdr:twoCellAnchor>
  <xdr:twoCellAnchor editAs="oneCell">
    <xdr:from>
      <xdr:col>0</xdr:col>
      <xdr:colOff>0</xdr:colOff>
      <xdr:row>27</xdr:row>
      <xdr:rowOff>161925</xdr:rowOff>
    </xdr:from>
    <xdr:to>
      <xdr:col>19</xdr:col>
      <xdr:colOff>485775</xdr:colOff>
      <xdr:row>64</xdr:row>
      <xdr:rowOff>68257</xdr:rowOff>
    </xdr:to>
    <xdr:pic>
      <xdr:nvPicPr>
        <xdr:cNvPr id="3" name="Picture 2">
          <a:extLst>
            <a:ext uri="{FF2B5EF4-FFF2-40B4-BE49-F238E27FC236}">
              <a16:creationId xmlns:a16="http://schemas.microsoft.com/office/drawing/2014/main" id="{4F8B586D-9500-49E0-93A6-B41009BFFBDF}"/>
            </a:ext>
          </a:extLst>
        </xdr:cNvPr>
        <xdr:cNvPicPr>
          <a:picLocks noChangeAspect="1"/>
        </xdr:cNvPicPr>
      </xdr:nvPicPr>
      <xdr:blipFill>
        <a:blip xmlns:r="http://schemas.openxmlformats.org/officeDocument/2006/relationships" r:embed="rId2"/>
        <a:stretch>
          <a:fillRect/>
        </a:stretch>
      </xdr:blipFill>
      <xdr:spPr>
        <a:xfrm>
          <a:off x="0" y="5400675"/>
          <a:ext cx="12430125" cy="695483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400793</xdr:colOff>
      <xdr:row>11</xdr:row>
      <xdr:rowOff>76200</xdr:rowOff>
    </xdr:from>
    <xdr:to>
      <xdr:col>3</xdr:col>
      <xdr:colOff>784812</xdr:colOff>
      <xdr:row>22</xdr:row>
      <xdr:rowOff>90434</xdr:rowOff>
    </xdr:to>
    <xdr:graphicFrame macro="">
      <xdr:nvGraphicFramePr>
        <xdr:cNvPr id="2" name="Chart 1">
          <a:extLst>
            <a:ext uri="{FF2B5EF4-FFF2-40B4-BE49-F238E27FC236}">
              <a16:creationId xmlns:a16="http://schemas.microsoft.com/office/drawing/2014/main" id="{E576D30A-DC27-605E-D15E-FF063E0A9C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925830</xdr:colOff>
      <xdr:row>11</xdr:row>
      <xdr:rowOff>62865</xdr:rowOff>
    </xdr:from>
    <xdr:to>
      <xdr:col>8</xdr:col>
      <xdr:colOff>735330</xdr:colOff>
      <xdr:row>22</xdr:row>
      <xdr:rowOff>104776</xdr:rowOff>
    </xdr:to>
    <xdr:graphicFrame macro="">
      <xdr:nvGraphicFramePr>
        <xdr:cNvPr id="4" name="Chart 3">
          <a:extLst>
            <a:ext uri="{FF2B5EF4-FFF2-40B4-BE49-F238E27FC236}">
              <a16:creationId xmlns:a16="http://schemas.microsoft.com/office/drawing/2014/main" id="{5BE503B8-F555-44F0-5D9A-27E0C23080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257175</xdr:colOff>
      <xdr:row>0</xdr:row>
      <xdr:rowOff>77932</xdr:rowOff>
    </xdr:from>
    <xdr:to>
      <xdr:col>15</xdr:col>
      <xdr:colOff>1</xdr:colOff>
      <xdr:row>22</xdr:row>
      <xdr:rowOff>129886</xdr:rowOff>
    </xdr:to>
    <xdr:sp macro="" textlink="">
      <xdr:nvSpPr>
        <xdr:cNvPr id="2" name="TextBox 2">
          <a:extLst>
            <a:ext uri="{FF2B5EF4-FFF2-40B4-BE49-F238E27FC236}">
              <a16:creationId xmlns:a16="http://schemas.microsoft.com/office/drawing/2014/main" id="{110F248E-CA25-4F5D-A02F-090BFBF28701}"/>
            </a:ext>
          </a:extLst>
        </xdr:cNvPr>
        <xdr:cNvSpPr txBox="1"/>
      </xdr:nvSpPr>
      <xdr:spPr>
        <a:xfrm>
          <a:off x="257175" y="77932"/>
          <a:ext cx="8445212" cy="252845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*Level of certainty (lowest of the four dimensions evidence strengths, precision of impact estimates, assumptions, and sensitivity): </a:t>
          </a:r>
          <a:endParaRPr lang="en-US" sz="1050" b="0" i="0" u="none" strike="noStrike" baseline="0">
            <a:solidFill>
              <a:schemeClr val="dk1"/>
            </a:solidFill>
            <a:latin typeface="Pero" panose="020F0506020203030304" pitchFamily="34" charset="0"/>
            <a:ea typeface="+mn-ea"/>
            <a:cs typeface="+mn-cs"/>
          </a:endParaRPr>
        </a:p>
        <a:p>
          <a:r>
            <a:rPr lang="en-US" sz="1050" b="0" i="0" u="none" strike="noStrike" baseline="0">
              <a:solidFill>
                <a:schemeClr val="dk1"/>
              </a:solidFill>
              <a:latin typeface="Pero" panose="020F0506020203030304" pitchFamily="34" charset="0"/>
              <a:ea typeface="+mn-ea"/>
              <a:cs typeface="+mn-cs"/>
            </a:rPr>
            <a:t>Low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No direct measurement of household income or consumption expenditure. Income effects modeled from 	intermediate outcomes. </a:t>
          </a:r>
        </a:p>
        <a:p>
          <a:r>
            <a:rPr lang="en-US" sz="1050" b="0" i="0" u="none" strike="noStrike" baseline="0">
              <a:solidFill>
                <a:schemeClr val="dk1"/>
              </a:solidFill>
              <a:latin typeface="Pero" panose="020F0506020203030304" pitchFamily="34" charset="0"/>
              <a:ea typeface="+mn-ea"/>
              <a:cs typeface="+mn-cs"/>
            </a:rPr>
            <a:t>	Weak evaluation design (observational, no counterfactual; small or non-representative samples). </a:t>
          </a:r>
        </a:p>
        <a:p>
          <a:r>
            <a:rPr lang="en-US" sz="1050" b="0" i="0" u="none" strike="noStrike" baseline="0">
              <a:solidFill>
                <a:schemeClr val="dk1"/>
              </a:solidFill>
              <a:latin typeface="Pero" panose="020F0506020203030304" pitchFamily="34" charset="0"/>
              <a:ea typeface="+mn-ea"/>
              <a:cs typeface="+mn-cs"/>
            </a:rPr>
            <a:t>	Impact/outcome estimates from very different contexts (low generalizability).</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Confidence interval (CI) width &gt; 60% of point estimate or no CI reported at all. Point estimates 	not statistically significant.</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Multiple key assumptions with high uncertainty (best guess).</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highly sensitive to key uncertain parameters. Small or plaussible variations (e.g. +/- 10-20%) in key 	parameters lead to large changes in SROI values or even a change in sign</a:t>
          </a:r>
        </a:p>
        <a:p>
          <a:r>
            <a:rPr lang="en-US" sz="1050" b="0" i="0" u="none" strike="noStrike" baseline="0">
              <a:solidFill>
                <a:schemeClr val="dk1"/>
              </a:solidFill>
              <a:latin typeface="Pero" panose="020F0506020203030304" pitchFamily="34" charset="0"/>
              <a:ea typeface="+mn-ea"/>
              <a:cs typeface="+mn-cs"/>
            </a:rPr>
            <a:t>Medium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Impact estimates based on self-reported income or validated proxy measures. </a:t>
          </a:r>
        </a:p>
        <a:p>
          <a:r>
            <a:rPr lang="en-US" sz="1050" b="0" i="0" u="none" strike="noStrike" baseline="0">
              <a:solidFill>
                <a:schemeClr val="dk1"/>
              </a:solidFill>
              <a:latin typeface="Pero" panose="020F0506020203030304" pitchFamily="34" charset="0"/>
              <a:ea typeface="+mn-ea"/>
              <a:cs typeface="+mn-cs"/>
            </a:rPr>
            <a:t>	Observational or quasi-experimental evaluation design with some attempt at causal inference.</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similar contexts or adapted with reasoning.</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Moderately wide CI (CI width 30-60%). Borderline statistical significance of impact estimates.</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Some substantiated assumptions (with some form of support based on available evidence or logical reasoning). </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moderately sensitive to key parameters. Reasonable variation in inputs leads to noticeable but not 	decision-changing shifts in ROI.</a:t>
          </a:r>
        </a:p>
        <a:p>
          <a:r>
            <a:rPr lang="en-US" sz="1050" b="0" i="0" u="none" strike="noStrike" baseline="0">
              <a:solidFill>
                <a:schemeClr val="dk1"/>
              </a:solidFill>
              <a:latin typeface="Pero" panose="020F0506020203030304" pitchFamily="34" charset="0"/>
              <a:ea typeface="+mn-ea"/>
              <a:cs typeface="+mn-cs"/>
            </a:rPr>
            <a:t>High	</a:t>
          </a:r>
          <a:r>
            <a:rPr lang="en-US" sz="1050" b="0" i="0" u="sng" strike="noStrike" baseline="0">
              <a:solidFill>
                <a:schemeClr val="dk1"/>
              </a:solidFill>
              <a:latin typeface="Pero" panose="020F0506020203030304" pitchFamily="34" charset="0"/>
              <a:ea typeface="+mn-ea"/>
              <a:cs typeface="+mn-cs"/>
            </a:rPr>
            <a:t>Evidence strength</a:t>
          </a:r>
          <a:r>
            <a:rPr lang="en-US" sz="1050" b="0" i="0" u="none" strike="noStrike" baseline="0">
              <a:solidFill>
                <a:schemeClr val="dk1"/>
              </a:solidFill>
              <a:latin typeface="Pero" panose="020F0506020203030304" pitchFamily="34" charset="0"/>
              <a:ea typeface="+mn-ea"/>
              <a:cs typeface="+mn-cs"/>
            </a:rPr>
            <a:t>: Direct measurement of household consumption expenditure. </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Rigorous experimental/quasi-experimental design with strong causal identification.</a:t>
          </a:r>
          <a:br>
            <a:rPr lang="en-US" sz="1050" b="0" i="0" u="none" strike="noStrike" baseline="0">
              <a:solidFill>
                <a:schemeClr val="dk1"/>
              </a:solidFill>
              <a:latin typeface="Pero" panose="020F0506020203030304" pitchFamily="34" charset="0"/>
              <a:ea typeface="+mn-ea"/>
              <a:cs typeface="+mn-cs"/>
            </a:rPr>
          </a:br>
          <a:r>
            <a:rPr lang="en-US" sz="1050" b="0" i="0" u="none" strike="noStrike" baseline="0">
              <a:solidFill>
                <a:schemeClr val="dk1"/>
              </a:solidFill>
              <a:latin typeface="Pero" panose="020F0506020203030304" pitchFamily="34" charset="0"/>
              <a:ea typeface="+mn-ea"/>
              <a:cs typeface="+mn-cs"/>
            </a:rPr>
            <a:t>	Impact estimates from coffee-growing households in East Africa or validated external validity.</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Precision of impact estimates</a:t>
          </a:r>
          <a:r>
            <a:rPr lang="en-US" sz="1050" b="0" i="0" u="none" strike="noStrike" baseline="0">
              <a:solidFill>
                <a:schemeClr val="dk1"/>
              </a:solidFill>
              <a:latin typeface="Pero" panose="020F0506020203030304" pitchFamily="34" charset="0"/>
              <a:ea typeface="+mn-ea"/>
              <a:cs typeface="+mn-cs"/>
            </a:rPr>
            <a:t>: Income estimates significant at 5% (p&lt;0.05) with narrow confidence intervals (i.e., CI width &lt; 	31% of the point estimate).</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Assumptions</a:t>
          </a:r>
          <a:r>
            <a:rPr lang="en-US" sz="1050" b="0" i="0" u="none" strike="noStrike" baseline="0">
              <a:solidFill>
                <a:schemeClr val="dk1"/>
              </a:solidFill>
              <a:latin typeface="Pero" panose="020F0506020203030304" pitchFamily="34" charset="0"/>
              <a:ea typeface="+mn-ea"/>
              <a:cs typeface="+mn-cs"/>
            </a:rPr>
            <a:t>: All key assumptions are empirically grounded or sensitivity-tested.</a:t>
          </a:r>
        </a:p>
        <a:p>
          <a:r>
            <a:rPr lang="en-US" sz="1050" b="0" i="0" u="none" strike="noStrike" baseline="0">
              <a:solidFill>
                <a:schemeClr val="dk1"/>
              </a:solidFill>
              <a:latin typeface="Pero" panose="020F0506020203030304" pitchFamily="34" charset="0"/>
              <a:ea typeface="+mn-ea"/>
              <a:cs typeface="+mn-cs"/>
            </a:rPr>
            <a:t>	</a:t>
          </a:r>
          <a:r>
            <a:rPr lang="en-US" sz="1050" b="0" i="0" u="sng" strike="noStrike" baseline="0">
              <a:solidFill>
                <a:schemeClr val="dk1"/>
              </a:solidFill>
              <a:latin typeface="Pero" panose="020F0506020203030304" pitchFamily="34" charset="0"/>
              <a:ea typeface="+mn-ea"/>
              <a:cs typeface="+mn-cs"/>
            </a:rPr>
            <a:t>Sensitivity</a:t>
          </a:r>
          <a:r>
            <a:rPr lang="en-US" sz="1050" b="0" i="0" u="none" strike="noStrike" baseline="0">
              <a:solidFill>
                <a:schemeClr val="dk1"/>
              </a:solidFill>
              <a:latin typeface="Pero" panose="020F0506020203030304" pitchFamily="34" charset="0"/>
              <a:ea typeface="+mn-ea"/>
              <a:cs typeface="+mn-cs"/>
            </a:rPr>
            <a:t>: SROI values are robust to sensitivity analysis. Changes in inputs lead to only modest changes in SROI values, and 	conclusions remain consistent.</a:t>
          </a:r>
        </a:p>
      </xdr:txBody>
    </xdr:sp>
    <xdr:clientData/>
  </xdr:twoCellAnchor>
  <xdr:twoCellAnchor>
    <xdr:from>
      <xdr:col>0</xdr:col>
      <xdr:colOff>278130</xdr:colOff>
      <xdr:row>22</xdr:row>
      <xdr:rowOff>179935</xdr:rowOff>
    </xdr:from>
    <xdr:to>
      <xdr:col>14</xdr:col>
      <xdr:colOff>579755</xdr:colOff>
      <xdr:row>28</xdr:row>
      <xdr:rowOff>51955</xdr:rowOff>
    </xdr:to>
    <xdr:sp macro="" textlink="">
      <xdr:nvSpPr>
        <xdr:cNvPr id="3" name="TextBox 2">
          <a:extLst>
            <a:ext uri="{FF2B5EF4-FFF2-40B4-BE49-F238E27FC236}">
              <a16:creationId xmlns:a16="http://schemas.microsoft.com/office/drawing/2014/main" id="{552BC1CC-A17E-4053-B0DD-CB058BA69C17}"/>
            </a:ext>
          </a:extLst>
        </xdr:cNvPr>
        <xdr:cNvSpPr txBox="1"/>
      </xdr:nvSpPr>
      <xdr:spPr>
        <a:xfrm>
          <a:off x="278130" y="4180435"/>
          <a:ext cx="8545080" cy="96306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050" b="1" i="0" u="none" strike="noStrike" baseline="0">
              <a:solidFill>
                <a:schemeClr val="dk1"/>
              </a:solidFill>
              <a:latin typeface="Pero" panose="020F0506020203030304" pitchFamily="34" charset="0"/>
              <a:ea typeface="+mn-ea"/>
              <a:cs typeface="+mn-cs"/>
            </a:rPr>
            <a:t>*Methodological rigor: </a:t>
          </a:r>
          <a:endParaRPr lang="en-US" sz="1050" b="0" i="0" u="none" strike="noStrike" baseline="0">
            <a:solidFill>
              <a:schemeClr val="dk1"/>
            </a:solidFill>
            <a:latin typeface="Pero" panose="020F0506020203030304" pitchFamily="34" charset="0"/>
            <a:ea typeface="+mn-ea"/>
            <a:cs typeface="+mn-cs"/>
          </a:endParaRPr>
        </a:p>
        <a:p>
          <a:r>
            <a:rPr lang="en-US" sz="1050" b="0" i="0" u="none" strike="noStrike" baseline="0">
              <a:solidFill>
                <a:schemeClr val="dk1"/>
              </a:solidFill>
              <a:latin typeface="Pero" panose="020F0506020203030304" pitchFamily="34" charset="0"/>
              <a:ea typeface="+mn-ea"/>
              <a:cs typeface="+mn-cs"/>
            </a:rPr>
            <a:t>Fair	Design and methods have significant limitations that reduce confidence in causal claims.</a:t>
          </a:r>
        </a:p>
        <a:p>
          <a:r>
            <a:rPr lang="en-US" sz="1050" b="0" i="0" u="none" strike="noStrike" baseline="0">
              <a:solidFill>
                <a:schemeClr val="dk1"/>
              </a:solidFill>
              <a:latin typeface="Pero" panose="020F0506020203030304" pitchFamily="34" charset="0"/>
              <a:ea typeface="+mn-ea"/>
              <a:cs typeface="+mn-cs"/>
            </a:rPr>
            <a:t>Good	Design is generally appropriate, with clear and justified sampling and analytical methods, though some limitations remain.</a:t>
          </a:r>
        </a:p>
        <a:p>
          <a:r>
            <a:rPr lang="en-US" sz="1050" b="0" i="0" u="none" strike="noStrike" baseline="0">
              <a:solidFill>
                <a:schemeClr val="dk1"/>
              </a:solidFill>
              <a:latin typeface="Pero" panose="020F0506020203030304" pitchFamily="34" charset="0"/>
              <a:ea typeface="+mn-ea"/>
              <a:cs typeface="+mn-cs"/>
            </a:rPr>
            <a:t>Excellent	Rigorous design with well-documented, robust methods that effectively address potential biases and support strong causal 	inferences.</a:t>
          </a:r>
        </a:p>
      </xdr:txBody>
    </xdr:sp>
    <xdr:clientData/>
  </xdr:twoCellAnchor>
  <xdr:twoCellAnchor>
    <xdr:from>
      <xdr:col>0</xdr:col>
      <xdr:colOff>290368</xdr:colOff>
      <xdr:row>28</xdr:row>
      <xdr:rowOff>152110</xdr:rowOff>
    </xdr:from>
    <xdr:to>
      <xdr:col>15</xdr:col>
      <xdr:colOff>17318</xdr:colOff>
      <xdr:row>36</xdr:row>
      <xdr:rowOff>60613</xdr:rowOff>
    </xdr:to>
    <xdr:sp macro="" textlink="">
      <xdr:nvSpPr>
        <xdr:cNvPr id="4" name="TextBox 3">
          <a:extLst>
            <a:ext uri="{FF2B5EF4-FFF2-40B4-BE49-F238E27FC236}">
              <a16:creationId xmlns:a16="http://schemas.microsoft.com/office/drawing/2014/main" id="{63DE3771-B597-4E8D-8E26-255364F42E02}"/>
            </a:ext>
          </a:extLst>
        </xdr:cNvPr>
        <xdr:cNvSpPr txBox="1"/>
      </xdr:nvSpPr>
      <xdr:spPr>
        <a:xfrm>
          <a:off x="290368" y="5486110"/>
          <a:ext cx="8299450" cy="14325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*Discrount rate</a:t>
          </a:r>
          <a:r>
            <a:rPr lang="en-US" sz="1050">
              <a:solidFill>
                <a:schemeClr val="dk1"/>
              </a:solidFill>
              <a:effectLst/>
              <a:latin typeface="Pero" panose="020F0506020203030304" pitchFamily="34" charset="0"/>
              <a:ea typeface="+mn-ea"/>
              <a:cs typeface="+mn-cs"/>
            </a:rPr>
            <a:t>:</a:t>
          </a:r>
          <a:r>
            <a:rPr lang="en-US" sz="1050" baseline="0">
              <a:solidFill>
                <a:schemeClr val="dk1"/>
              </a:solidFill>
              <a:effectLst/>
              <a:latin typeface="Pero" panose="020F0506020203030304" pitchFamily="34" charset="0"/>
              <a:ea typeface="+mn-ea"/>
              <a:cs typeface="+mn-cs"/>
            </a:rPr>
            <a:t> </a:t>
          </a:r>
          <a:r>
            <a:rPr lang="en-US" sz="1050">
              <a:solidFill>
                <a:schemeClr val="dk1"/>
              </a:solidFill>
              <a:effectLst/>
              <a:latin typeface="Pero" panose="020F0506020203030304" pitchFamily="34" charset="0"/>
              <a:ea typeface="+mn-ea"/>
              <a:cs typeface="+mn-cs"/>
            </a:rPr>
            <a:t>When a program's costs and impacts are distributed across time, it is necessary to discount them back to their present value in the base year of the program to account for an organization's time preference for both costs and benefits. The social opportunity cost of capital (SOC) is used as the standard discount rate in this analysis, in part because the high variation and scarce data on time preference in the developing world makes it impossible to use people's social rate of time preference to establish a standard discount rate. </a:t>
          </a:r>
        </a:p>
        <a:p>
          <a:r>
            <a:rPr lang="en-US" sz="1050">
              <a:solidFill>
                <a:schemeClr val="dk1"/>
              </a:solidFill>
              <a:effectLst/>
              <a:latin typeface="Pero" panose="020F0506020203030304" pitchFamily="34" charset="0"/>
              <a:ea typeface="+mn-ea"/>
              <a:cs typeface="+mn-cs"/>
            </a:rPr>
            <a:t>Looking at the median discount rate, calculated based on the SOC, across countries suggests that anything between 10-12 percent is a reasonable rate for discounting the costs and benefits of rural livelihoods programs in developing countries. We've chosen to set the discount rate to 10 percent to ensure consistency across all programs in the analysis. (For a list of discount rates used by various governments and organizations, see Table 2 of Dhaliwal et al., 2013.)</a:t>
          </a:r>
        </a:p>
        <a:p>
          <a:r>
            <a:rPr lang="en-US" sz="1050">
              <a:solidFill>
                <a:schemeClr val="dk1"/>
              </a:solidFill>
              <a:effectLst/>
              <a:latin typeface="Pero" panose="020F0506020203030304" pitchFamily="34" charset="0"/>
              <a:ea typeface="+mn-ea"/>
              <a:cs typeface="+mn-cs"/>
            </a:rPr>
            <a:t> </a:t>
          </a:r>
        </a:p>
      </xdr:txBody>
    </xdr:sp>
    <xdr:clientData/>
  </xdr:twoCellAnchor>
  <xdr:twoCellAnchor>
    <xdr:from>
      <xdr:col>0</xdr:col>
      <xdr:colOff>292101</xdr:colOff>
      <xdr:row>48</xdr:row>
      <xdr:rowOff>25977</xdr:rowOff>
    </xdr:from>
    <xdr:to>
      <xdr:col>15</xdr:col>
      <xdr:colOff>6351</xdr:colOff>
      <xdr:row>61</xdr:row>
      <xdr:rowOff>55789</xdr:rowOff>
    </xdr:to>
    <xdr:sp macro="" textlink="">
      <xdr:nvSpPr>
        <xdr:cNvPr id="5" name="TextBox 4">
          <a:extLst>
            <a:ext uri="{FF2B5EF4-FFF2-40B4-BE49-F238E27FC236}">
              <a16:creationId xmlns:a16="http://schemas.microsoft.com/office/drawing/2014/main" id="{C75BFADB-69A4-44FD-81FB-0C38A1BC8E47}"/>
            </a:ext>
          </a:extLst>
        </xdr:cNvPr>
        <xdr:cNvSpPr txBox="1"/>
      </xdr:nvSpPr>
      <xdr:spPr>
        <a:xfrm>
          <a:off x="292101" y="9169977"/>
          <a:ext cx="8286750" cy="2506312"/>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1" i="0" u="none" strike="noStrike" kern="0" cap="none" spc="0" normalizeH="0" baseline="0" noProof="0">
            <a:ln>
              <a:noFill/>
            </a:ln>
            <a:solidFill>
              <a:prstClr val="black"/>
            </a:solidFill>
            <a:effectLst/>
            <a:uLnTx/>
            <a:uFillTx/>
            <a:latin typeface="Pero" panose="020F0506020203030304" pitchFamily="34" charset="0"/>
            <a:ea typeface="+mn-ea"/>
            <a:cs typeface="+mn-cs"/>
          </a:endParaRPr>
        </a:p>
      </xdr:txBody>
    </xdr:sp>
    <xdr:clientData/>
  </xdr:twoCellAnchor>
  <xdr:twoCellAnchor>
    <xdr:from>
      <xdr:col>0</xdr:col>
      <xdr:colOff>283441</xdr:colOff>
      <xdr:row>36</xdr:row>
      <xdr:rowOff>134504</xdr:rowOff>
    </xdr:from>
    <xdr:to>
      <xdr:col>15</xdr:col>
      <xdr:colOff>10391</xdr:colOff>
      <xdr:row>41</xdr:row>
      <xdr:rowOff>112569</xdr:rowOff>
    </xdr:to>
    <xdr:sp macro="" textlink="">
      <xdr:nvSpPr>
        <xdr:cNvPr id="6" name="TextBox 5">
          <a:extLst>
            <a:ext uri="{FF2B5EF4-FFF2-40B4-BE49-F238E27FC236}">
              <a16:creationId xmlns:a16="http://schemas.microsoft.com/office/drawing/2014/main" id="{ADC701C7-DBC6-4A0E-8F3E-402A334254F3}"/>
            </a:ext>
          </a:extLst>
        </xdr:cNvPr>
        <xdr:cNvSpPr txBox="1"/>
      </xdr:nvSpPr>
      <xdr:spPr>
        <a:xfrm>
          <a:off x="283441" y="6992504"/>
          <a:ext cx="8299450" cy="9305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a:solidFill>
                <a:schemeClr val="dk1"/>
              </a:solidFill>
              <a:effectLst/>
              <a:latin typeface="Pero" panose="020F0506020203030304" pitchFamily="34" charset="0"/>
              <a:ea typeface="+mn-ea"/>
              <a:cs typeface="+mn-cs"/>
            </a:rPr>
            <a:t>*Inflation</a:t>
          </a:r>
          <a:r>
            <a:rPr lang="en-US" sz="1050" b="1" baseline="0">
              <a:solidFill>
                <a:schemeClr val="dk1"/>
              </a:solidFill>
              <a:effectLst/>
              <a:latin typeface="Pero" panose="020F0506020203030304" pitchFamily="34" charset="0"/>
              <a:ea typeface="+mn-ea"/>
              <a:cs typeface="+mn-cs"/>
            </a:rPr>
            <a:t>: </a:t>
          </a:r>
          <a:r>
            <a:rPr lang="en-US" sz="1050" b="0">
              <a:solidFill>
                <a:schemeClr val="dk1"/>
              </a:solidFill>
              <a:effectLst/>
              <a:latin typeface="Pero" panose="020F0506020203030304" pitchFamily="34" charset="0"/>
              <a:ea typeface="+mn-ea"/>
              <a:cs typeface="+mn-cs"/>
            </a:rPr>
            <a:t>We present cash flows in real values, deflating</a:t>
          </a:r>
          <a:r>
            <a:rPr lang="en-US" sz="1050" b="0" baseline="0">
              <a:solidFill>
                <a:schemeClr val="dk1"/>
              </a:solidFill>
              <a:effectLst/>
              <a:latin typeface="Pero" panose="020F0506020203030304" pitchFamily="34" charset="0"/>
              <a:ea typeface="+mn-ea"/>
              <a:cs typeface="+mn-cs"/>
            </a:rPr>
            <a:t> both income effects</a:t>
          </a:r>
          <a:r>
            <a:rPr lang="en-US" sz="1050" b="0">
              <a:solidFill>
                <a:schemeClr val="dk1"/>
              </a:solidFill>
              <a:effectLst/>
              <a:latin typeface="Pero" panose="020F0506020203030304" pitchFamily="34" charset="0"/>
              <a:ea typeface="+mn-ea"/>
              <a:cs typeface="+mn-cs"/>
            </a:rPr>
            <a:t> as well as project costs back to real value in base year 2024, using average annual LCU inflation rate over time elapsed between base year and the incurrence of benefits/costs. We take the present value of these cash flows and then deflate back to the year of analysis (2021), using average annual LCU inflation rate over time elapsed between base year and year of analysis. We selected 2021 as year of analysis because it aligns with the latest international poverty line and purchasing power parity (PPP) update (World Bank Group 2025).</a:t>
          </a:r>
        </a:p>
      </xdr:txBody>
    </xdr:sp>
    <xdr:clientData/>
  </xdr:twoCellAnchor>
  <xdr:twoCellAnchor>
    <xdr:from>
      <xdr:col>0</xdr:col>
      <xdr:colOff>259773</xdr:colOff>
      <xdr:row>42</xdr:row>
      <xdr:rowOff>17318</xdr:rowOff>
    </xdr:from>
    <xdr:to>
      <xdr:col>15</xdr:col>
      <xdr:colOff>17318</xdr:colOff>
      <xdr:row>47</xdr:row>
      <xdr:rowOff>129886</xdr:rowOff>
    </xdr:to>
    <xdr:sp macro="" textlink="">
      <xdr:nvSpPr>
        <xdr:cNvPr id="7" name="TextBox 6">
          <a:extLst>
            <a:ext uri="{FF2B5EF4-FFF2-40B4-BE49-F238E27FC236}">
              <a16:creationId xmlns:a16="http://schemas.microsoft.com/office/drawing/2014/main" id="{C7F574A3-BB8A-4CAA-BEC2-E21417A575A6}"/>
            </a:ext>
          </a:extLst>
        </xdr:cNvPr>
        <xdr:cNvSpPr txBox="1"/>
      </xdr:nvSpPr>
      <xdr:spPr>
        <a:xfrm>
          <a:off x="259773" y="8018318"/>
          <a:ext cx="8330045" cy="106506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baseline="0">
              <a:solidFill>
                <a:schemeClr val="dk1"/>
              </a:solidFill>
              <a:effectLst/>
              <a:latin typeface="Pero" panose="020F0506020203030304" pitchFamily="34" charset="0"/>
              <a:ea typeface="+mn-ea"/>
              <a:cs typeface="+mn-cs"/>
            </a:rPr>
            <a:t>*Non-implementation costs share:</a:t>
          </a:r>
          <a:r>
            <a:rPr lang="en-US" sz="1050" b="0">
              <a:solidFill>
                <a:schemeClr val="dk1"/>
              </a:solidFill>
              <a:latin typeface="Pero" panose="020F0506020203030304" pitchFamily="34" charset="0"/>
              <a:ea typeface="+mn-ea"/>
              <a:cs typeface="+mn-cs"/>
            </a:rPr>
            <a:t> </a:t>
          </a:r>
          <a:r>
            <a:rPr lang="en-US" sz="1050" b="0">
              <a:solidFill>
                <a:schemeClr val="dk1"/>
              </a:solidFill>
              <a:effectLst/>
              <a:latin typeface="Pero" panose="020F0506020203030304" pitchFamily="34" charset="0"/>
              <a:ea typeface="+mn-ea"/>
              <a:cs typeface="+mn-cs"/>
            </a:rPr>
            <a:t>This parameter captures the share of the total project budget allocated to costs not directly related to project implementation — such as administrative overhead, institutional support functions, or organizational indirect costs applied by the implementing organization. We assume these costs are still necessary to replicate/expand the program. Moreover, the non-implementation costs share varies considerably between implementing organizations. Substracting these costs from the cost base would disadvantage lean/efficient organizations with a low non-implementation cost share. We therefore include non-implementation/indirect costs in the project costs in the base case.  </a:t>
          </a:r>
        </a:p>
      </xdr:txBody>
    </xdr:sp>
    <xdr:clientData/>
  </xdr:twoCellAnchor>
</xdr:wsDr>
</file>

<file path=xl/persons/person.xml><?xml version="1.0" encoding="utf-8"?>
<personList xmlns="http://schemas.microsoft.com/office/spreadsheetml/2018/threadedcomments" xmlns:x="http://schemas.openxmlformats.org/spreadsheetml/2006/main">
  <person displayName="Wiegel, Sarah" id="{4FAF659E-664E-4D80-99F3-D81B7727695D}" userId="S::swiegel@herewegrow.org::750ddbee-ee52-4a41-b292-ae74334bd7d4"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5" dT="2026-08-21T13:00:43.38" personId="{4FAF659E-664E-4D80-99F3-D81B7727695D}" id="{3A67B379-4401-43CD-97B5-4B9D71C2BA62}">
    <text>Lower- and upper-bound do not reflect the grid‘s minimum and maximum from the sensitivity analysis. They rather state plaussible results using more conservative or optimistic assumptions. We do not use minimum and maximum for the analysis as this would considerably enlarge the SROI range, making these figures less useful.</text>
  </threadedComment>
  <threadedComment ref="B26" dT="2026-07-01T08:24:53.30" personId="{4FAF659E-664E-4D80-99F3-D81B7727695D}" id="{8672ECC5-8A66-4F8C-946C-5B064D68DEB0}">
    <text>25% increase of median baseline income. Median baseline income=675,000 UGX. As the 675,000 UGX are measured income, we assume a 25% increase as measured in the Mahmud &amp; Riley RCT.</text>
  </threadedComment>
  <threadedComment ref="B27" dT="2026-07-01T08:26:54.76" personId="{4FAF659E-664E-4D80-99F3-D81B7727695D}" id="{64731E25-6E09-41A3-ADC2-B6DEFD163168}">
    <text>Laterite median household consumption at baseline (676,441,9 UGX) + 15% treatment effect</text>
  </threadedComment>
  <threadedComment ref="C33" dT="2026-08-20T06:33:50.12" personId="{4FAF659E-664E-4D80-99F3-D81B7727695D}" id="{6856E58B-0619-498F-8CDB-1E34D6FE3864}">
    <text xml:space="preserve">For more details on the rapid consumption module see:
Pape, U., &amp; Wollburg, P. (2019). Estimation of Poverty in Somalia Using Innovative Methodologies (Policy Research Working Paper No. 8735). World Bank. https://hdl.handle.net/10986/31267 </text>
  </threadedComment>
</ThreadedComments>
</file>

<file path=xl/threadedComments/threadedComment2.xml><?xml version="1.0" encoding="utf-8"?>
<ThreadedComments xmlns="http://schemas.microsoft.com/office/spreadsheetml/2018/threadedcomments" xmlns:x="http://schemas.openxmlformats.org/spreadsheetml/2006/main">
  <threadedComment ref="B5" dT="2026-07-01T09:49:07.69" personId="{4FAF659E-664E-4D80-99F3-D81B7727695D}" id="{79A421FA-D479-4B42-BFE1-AE165092C2BE}">
    <text>We choose as year of analysis 2021 to be able to allow for comparisons with latest international poverty lines.</text>
  </threadedComment>
  <threadedComment ref="C21" dT="2026-08-20T07:05:51.45" personId="{4FAF659E-664E-4D80-99F3-D81B7727695D}" id="{F585A4DA-8822-48C7-A518-984395A84869}">
    <text>RTV comitted in proposal to reach 27,600 households but specified target reach per cohort on individual level. As SROI is calculated at hh level, we divide this by 5 to obtain the planned number of households reached per cycle. The sum adds to the 27,600 households specified in the proposal.</text>
  </threadedComment>
  <threadedComment ref="C27" dT="2026-08-21T07:38:25.91" personId="{4FAF659E-664E-4D80-99F3-D81B7727695D}" id="{4FB4255C-0E61-4F31-9DC1-93ADD15F81CD}">
    <text>The forecast SROI uses the number of planned households. Updated SROI calculation in the beginning of 2027 (after publication of midline results) will include actual number of households reached.</text>
  </threadedComment>
</ThreadedComments>
</file>

<file path=xl/threadedComments/threadedComment3.xml><?xml version="1.0" encoding="utf-8"?>
<ThreadedComments xmlns="http://schemas.microsoft.com/office/spreadsheetml/2018/threadedcomments" xmlns:x="http://schemas.openxmlformats.org/spreadsheetml/2006/main">
  <threadedComment ref="B4" dT="2025-12-02T10:56:59.30" personId="{4FAF659E-664E-4D80-99F3-D81B7727695D}" id="{32EA18E6-593B-4B0D-B078-A23475F328B1}">
    <text>We assume 2% income increase in Yr 1, 8% in Yr 2 and 10% in Yr 3. We treat this impact as real percentage gains in consumption relative to baseline.</text>
  </threadedComment>
  <threadedComment ref="F4" dT="2025-12-02T12:39:53.12" personId="{4FAF659E-664E-4D80-99F3-D81B7727695D}" id="{56FF7E33-02E3-4E17-AE3B-E07D47EEDB9C}">
    <text>Given Uganda graduation follow-ups show continued improvement through year 5 (https://villageenterprise.org/wp-content/uploads/2022/11/Village-Enterprise-Longitudinal-Study-Report.pdf) we assume income gains to grow by 3% real per year, compounding until Yr 7. From Yr 7 onwards, income gains are held constant.</text>
    <extLst>
      <x:ext xmlns:xltc2="http://schemas.microsoft.com/office/spreadsheetml/2020/threadedcomments2" uri="{F7C98A9C-CBB3-438F-8F68-D28B6AF4A901}">
        <xltc2:checksum>3307652207</xltc2:checksum>
        <xltc2:hyperlink startIndex="78" length="105" url="https://villageenterprise.org/wp-content/uploads/2022/11/Village-Enterprise-Longitudinal-Study-Report.pdf"/>
      </x:ext>
    </extLst>
  </threadedComment>
  <threadedComment ref="G32" dT="2026-02-05T09:40:01.97" personId="{4FAF659E-664E-4D80-99F3-D81B7727695D}" id="{8763484B-5D12-4349-A25E-5263762DB0A4}">
    <text xml:space="preserve">We extend costs beyond HWG commitment to reflect the full costs for all 27,600 hh  to run through the full programm (2 years) </text>
  </threadedComment>
  <threadedComment ref="G36" dT="2026-02-05T12:12:23.61" personId="{4FAF659E-664E-4D80-99F3-D81B7727695D}" id="{71939262-FB6A-46E5-AE48-E7C378500A76}">
    <text>We likely overestimate program costs here because the largest share of program costs ocurr during the first 6 months of programming.</text>
  </threadedComment>
  <threadedComment ref="B50" dT="2025-12-22T09:51:01.68" personId="{4FAF659E-664E-4D80-99F3-D81B7727695D}" id="{07B50514-CC18-48F5-8ABA-8CB55B50EF3D}">
    <text xml:space="preserve">Compared to median baseline household consumption expenditure. </text>
  </threadedComment>
</ThreadedComments>
</file>

<file path=xl/threadedComments/threadedComment4.xml><?xml version="1.0" encoding="utf-8"?>
<ThreadedComments xmlns="http://schemas.microsoft.com/office/spreadsheetml/2018/threadedcomments" xmlns:x="http://schemas.openxmlformats.org/spreadsheetml/2006/main">
  <threadedComment ref="B54" dT="2026-08-21T08:33:24.89" personId="{4FAF659E-664E-4D80-99F3-D81B7727695D}" id="{B0125C43-3908-4881-80F0-A4CDC43E6DEE}">
    <text>Actual hh reach figures as well as changes to the budget will be incorporated in the base case SROI specification after publication of the midline results in the beginning of 2027.</text>
  </threadedComment>
</ThreadedComments>
</file>

<file path=xl/threadedComments/threadedComment5.xml><?xml version="1.0" encoding="utf-8"?>
<ThreadedComments xmlns="http://schemas.microsoft.com/office/spreadsheetml/2018/threadedcomments" xmlns:x="http://schemas.openxmlformats.org/spreadsheetml/2006/main">
  <threadedComment ref="B4" dT="2025-12-02T08:11:16.18" personId="{4FAF659E-664E-4D80-99F3-D81B7727695D}" id="{750AFB2B-E88E-4513-A75C-F8A926D60E61}">
    <text>Mean is 1.4 ha.</text>
  </threadedComment>
  <threadedComment ref="B5" dT="2025-12-02T08:11:48.72" personId="{4FAF659E-664E-4D80-99F3-D81B7727695D}" id="{85951B4D-4761-40C5-B025-4A1B0EC7CF4F}">
    <text>Mean is 0.5 ha.</text>
  </threadedComment>
  <threadedComment ref="B6" dT="2025-12-02T08:22:36.64" personId="{4FAF659E-664E-4D80-99F3-D81B7727695D}" id="{3FF5419C-5210-41F0-8F9A-EB140B64A2D7}">
    <text xml:space="preserve">Mean is 810. If we take coffee trees per ha of farmland with coffee trees present, median is 346 and mean 563 trees. </text>
  </threadedComment>
  <threadedComment ref="B7" dT="2025-12-02T09:25:12.54" personId="{4FAF659E-664E-4D80-99F3-D81B7727695D}" id="{7FA41055-E060-41E9-A403-2F97FCDFC0B9}">
    <text>Mean is 3,316 kg/ha.</text>
  </threadedComment>
  <threadedComment ref="B8" dT="2025-12-02T09:27:37.34" personId="{4FAF659E-664E-4D80-99F3-D81B7727695D}" id="{03038E9A-2F84-4301-87E9-AB51CCDB5060}">
    <text>Mean is 7.25.</text>
  </threadedComment>
  <threadedComment ref="B9" dT="2025-12-02T09:02:14.84" personId="{4FAF659E-664E-4D80-99F3-D81B7727695D}" id="{7CC1B9D2-DD30-4816-A8F7-C532D8B39557}">
    <text>Income=revenues-expenditures. Mean is 2,383,826 UGX</text>
  </threadedComment>
  <threadedComment ref="B10" dT="2025-12-02T09:09:31.06" personId="{4FAF659E-664E-4D80-99F3-D81B7727695D}" id="{1FED4A91-CC6E-4A23-A4CE-D9F39BBC3EF5}">
    <text>Mean is 6,989,116 UGX</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5D1086A-1AAB-4AF3-ACC9-F525C9C859CE}">
  <we:reference id="WA200010725" version="1.0.0.1" store="Omex" storeType="OMEX"/>
  <we:alternateReferences>
    <we:reference id="WA200010725" version="1.0.0.1" store="WA200010725" storeType="OMEX"/>
  </we:alternateReferences>
  <we:properties>
    <we:property name="claude.fileId" value="&quot;c9a563e0-5098-49a1-b44e-a2a9802aa30a&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microsoft.com/office/2017/10/relationships/threadedComment" Target="../threadedComments/threadedComment1.xml"/><Relationship Id="rId2" Type="http://schemas.openxmlformats.org/officeDocument/2006/relationships/hyperlink" Target="https://www.laterite.com/" TargetMode="External"/><Relationship Id="rId1" Type="http://schemas.openxmlformats.org/officeDocument/2006/relationships/hyperlink" Target="https://raisingthevillage.org/"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exchange-rates.org/exchange-rate-history/ugx-eur-2021?__cf_chl_f_tk=so0rpn..QrODQ_3yYxj7s85oeMMItuv0PVA_kdeECgs-1782903232-1.0.1.1-V1ppuO9TwtLwxiwhyQo6pwGGZ88SG3eIaLIYjRWbkO4" TargetMode="External"/><Relationship Id="rId7" Type="http://schemas.microsoft.com/office/2017/10/relationships/threadedComment" Target="../threadedComments/threadedComment2.xml"/><Relationship Id="rId2" Type="http://schemas.openxmlformats.org/officeDocument/2006/relationships/hyperlink" Target="https://www.imf.org/en/publications/weo/weo-database/2025/april/weo-report?c=644%2C&amp;s=NGDP_D%2C&amp;sy=2017&amp;ey=2030&amp;ssm=0&amp;scsm=1&amp;scc=0&amp;ssd=1&amp;ssc=0&amp;sic=0&amp;sort=country&amp;ds=.&amp;br=1" TargetMode="External"/><Relationship Id="rId1" Type="http://schemas.openxmlformats.org/officeDocument/2006/relationships/hyperlink" Target="https://www.herewegrow.org/wp-content/uploads/2026/06/HereWeGrow_Laterite_RTV-Baseline-Report_2025.pdf"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hyperlink" Target="https://www.herewegrow.org/wp-content/uploads/2026/06/HereWeGrow_Laterite_RTV-Baseline-Report_2025.pdf" TargetMode="External"/><Relationship Id="rId4"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7D3F3-F596-485F-ACC5-D90C83F99006}">
  <dimension ref="A1:L67"/>
  <sheetViews>
    <sheetView showGridLines="0" topLeftCell="A25" zoomScaleNormal="100" workbookViewId="0">
      <selection activeCell="C33" sqref="C33"/>
    </sheetView>
  </sheetViews>
  <sheetFormatPr defaultColWidth="9.42578125" defaultRowHeight="14.45"/>
  <cols>
    <col min="1" max="1" width="4.42578125" style="35" customWidth="1"/>
    <col min="2" max="2" width="30.5703125" style="35" customWidth="1"/>
    <col min="3" max="3" width="58" style="36" customWidth="1"/>
    <col min="4" max="4" width="16.42578125" customWidth="1"/>
    <col min="5" max="5" width="19.42578125" customWidth="1"/>
    <col min="6" max="6" width="16.5703125" customWidth="1"/>
    <col min="7" max="7" width="12" bestFit="1" customWidth="1"/>
    <col min="12" max="12" width="4.5703125" customWidth="1"/>
  </cols>
  <sheetData>
    <row r="1" spans="1:12">
      <c r="A1" s="5"/>
      <c r="B1" s="6"/>
      <c r="C1" s="7"/>
      <c r="D1" s="8"/>
      <c r="E1" s="8"/>
      <c r="F1" s="8"/>
      <c r="G1" s="8"/>
      <c r="H1" s="8"/>
      <c r="I1" s="8"/>
      <c r="J1" s="8"/>
      <c r="K1" s="8"/>
      <c r="L1" s="9"/>
    </row>
    <row r="2" spans="1:12" ht="21">
      <c r="A2" s="10"/>
      <c r="B2" s="11" t="s">
        <v>0</v>
      </c>
      <c r="C2" s="251" t="s">
        <v>1</v>
      </c>
      <c r="D2" s="252"/>
      <c r="E2" s="252"/>
      <c r="F2" s="12"/>
      <c r="G2" s="12"/>
      <c r="H2" s="12"/>
      <c r="I2" s="12"/>
      <c r="J2" s="12"/>
      <c r="K2" s="12"/>
      <c r="L2" s="13"/>
    </row>
    <row r="3" spans="1:12">
      <c r="A3" s="14"/>
      <c r="B3" s="15"/>
      <c r="C3" s="16"/>
      <c r="D3" s="12"/>
      <c r="E3" s="12"/>
      <c r="F3" s="12"/>
      <c r="G3" s="12"/>
      <c r="H3" s="12"/>
      <c r="I3" s="12"/>
      <c r="J3" s="12"/>
      <c r="K3" s="12"/>
      <c r="L3" s="13"/>
    </row>
    <row r="4" spans="1:12" ht="18">
      <c r="A4" s="17"/>
      <c r="B4" s="58" t="s">
        <v>2</v>
      </c>
      <c r="C4" s="19"/>
      <c r="D4" s="4"/>
      <c r="E4" s="176"/>
      <c r="F4" s="176"/>
      <c r="G4" s="176"/>
      <c r="H4" s="176"/>
      <c r="I4" s="20"/>
      <c r="J4" s="20"/>
      <c r="K4" s="20"/>
      <c r="L4" s="21"/>
    </row>
    <row r="5" spans="1:12" ht="10.15" customHeight="1">
      <c r="A5" s="177"/>
      <c r="B5" s="22"/>
      <c r="C5" s="23"/>
      <c r="D5" s="24"/>
      <c r="E5" s="178"/>
      <c r="F5" s="178"/>
      <c r="G5" s="178"/>
      <c r="H5" s="178"/>
      <c r="I5" s="12"/>
      <c r="J5" s="12"/>
      <c r="K5" s="12"/>
      <c r="L5" s="13"/>
    </row>
    <row r="6" spans="1:12" ht="18">
      <c r="A6" s="177"/>
      <c r="B6" s="25" t="s">
        <v>3</v>
      </c>
      <c r="C6" s="49" t="s">
        <v>4</v>
      </c>
      <c r="D6" s="26"/>
      <c r="E6" s="178"/>
      <c r="F6" s="178"/>
      <c r="G6" s="178"/>
      <c r="H6" s="178"/>
      <c r="I6" s="12"/>
      <c r="J6" s="12"/>
      <c r="K6" s="12"/>
      <c r="L6" s="13"/>
    </row>
    <row r="7" spans="1:12">
      <c r="A7" s="177"/>
      <c r="B7" s="27" t="s">
        <v>5</v>
      </c>
      <c r="C7" s="85" t="s">
        <v>6</v>
      </c>
      <c r="D7" s="179"/>
      <c r="E7" s="178"/>
      <c r="F7" s="178"/>
      <c r="G7" s="178"/>
      <c r="H7" s="178"/>
      <c r="I7" s="12"/>
      <c r="J7" s="12"/>
      <c r="K7" s="12"/>
      <c r="L7" s="13"/>
    </row>
    <row r="8" spans="1:12">
      <c r="A8" s="177"/>
      <c r="B8" s="27" t="s">
        <v>7</v>
      </c>
      <c r="C8" s="86" t="s">
        <v>8</v>
      </c>
      <c r="D8" s="28"/>
      <c r="E8" s="178"/>
      <c r="F8" s="178"/>
      <c r="G8" s="178"/>
      <c r="H8" s="178"/>
      <c r="I8" s="12"/>
      <c r="J8" s="12"/>
      <c r="K8" s="12"/>
      <c r="L8" s="13"/>
    </row>
    <row r="9" spans="1:12">
      <c r="A9" s="177"/>
      <c r="B9" s="27" t="s">
        <v>9</v>
      </c>
      <c r="C9" s="180" t="s">
        <v>10</v>
      </c>
      <c r="D9" s="179"/>
      <c r="E9" s="178"/>
      <c r="F9" s="178"/>
      <c r="G9" s="178"/>
      <c r="H9" s="178"/>
      <c r="I9" s="12"/>
      <c r="J9" s="12"/>
      <c r="K9" s="12"/>
      <c r="L9" s="13"/>
    </row>
    <row r="10" spans="1:12">
      <c r="A10" s="177"/>
      <c r="B10" s="27" t="s">
        <v>11</v>
      </c>
      <c r="C10" s="62" t="s">
        <v>12</v>
      </c>
      <c r="D10" s="179"/>
      <c r="E10" s="178"/>
      <c r="F10" s="178"/>
      <c r="G10" s="178"/>
      <c r="H10" s="178"/>
      <c r="I10" s="12"/>
      <c r="J10" s="12"/>
      <c r="K10" s="12"/>
      <c r="L10" s="13"/>
    </row>
    <row r="11" spans="1:12">
      <c r="A11" s="177"/>
      <c r="B11" s="27" t="s">
        <v>13</v>
      </c>
      <c r="C11" s="181" t="s">
        <v>14</v>
      </c>
      <c r="D11" s="179"/>
      <c r="E11" s="178"/>
      <c r="F11" s="178"/>
      <c r="G11" s="178"/>
      <c r="H11" s="178"/>
      <c r="I11" s="12"/>
      <c r="J11" s="12"/>
      <c r="K11" s="12"/>
      <c r="L11" s="13"/>
    </row>
    <row r="12" spans="1:12" ht="72">
      <c r="A12" s="177"/>
      <c r="B12" s="27" t="s">
        <v>15</v>
      </c>
      <c r="C12" s="180" t="s">
        <v>16</v>
      </c>
      <c r="D12" s="179"/>
      <c r="E12" s="178"/>
      <c r="F12" s="178"/>
      <c r="G12" s="178"/>
      <c r="H12" s="178"/>
      <c r="I12" s="12"/>
      <c r="J12" s="12"/>
      <c r="K12" s="12"/>
      <c r="L12" s="13"/>
    </row>
    <row r="13" spans="1:12">
      <c r="A13" s="177"/>
      <c r="B13" s="27" t="s">
        <v>17</v>
      </c>
      <c r="C13" s="182">
        <f>SUM(SROI!D33:F33)</f>
        <v>3329531</v>
      </c>
      <c r="D13" s="179"/>
      <c r="E13" s="178"/>
      <c r="F13" s="178"/>
      <c r="G13" s="178"/>
      <c r="H13" s="178"/>
      <c r="I13" s="12"/>
      <c r="J13" s="12"/>
      <c r="K13" s="12"/>
      <c r="L13" s="13"/>
    </row>
    <row r="14" spans="1:12">
      <c r="A14" s="177"/>
      <c r="B14" s="27" t="s">
        <v>18</v>
      </c>
      <c r="C14" s="183">
        <f>'Model input'!C27</f>
        <v>27600</v>
      </c>
      <c r="D14" s="179"/>
      <c r="E14" s="178"/>
      <c r="F14" s="178"/>
      <c r="G14" s="178"/>
      <c r="H14" s="178"/>
      <c r="I14" s="12"/>
      <c r="J14" s="12"/>
      <c r="K14" s="12"/>
      <c r="L14" s="13"/>
    </row>
    <row r="15" spans="1:12">
      <c r="A15" s="177"/>
      <c r="B15" s="27" t="s">
        <v>19</v>
      </c>
      <c r="C15" s="184">
        <v>46254</v>
      </c>
      <c r="D15" s="179"/>
      <c r="E15" s="178"/>
      <c r="F15" s="178"/>
      <c r="G15" s="178"/>
      <c r="H15" s="178"/>
      <c r="I15" s="12"/>
      <c r="J15" s="12"/>
      <c r="K15" s="12"/>
      <c r="L15" s="13"/>
    </row>
    <row r="16" spans="1:12">
      <c r="A16" s="177"/>
      <c r="B16" s="27" t="s">
        <v>20</v>
      </c>
      <c r="C16" s="184" t="s">
        <v>21</v>
      </c>
      <c r="D16" s="179"/>
      <c r="E16" s="178"/>
      <c r="F16" s="178"/>
      <c r="G16" s="178"/>
      <c r="H16" s="178"/>
      <c r="I16" s="12"/>
      <c r="J16" s="12"/>
      <c r="K16" s="12"/>
      <c r="L16" s="13"/>
    </row>
    <row r="17" spans="1:12">
      <c r="A17" s="177"/>
      <c r="B17" s="29"/>
      <c r="C17" s="185"/>
      <c r="D17" s="178"/>
      <c r="E17" s="178"/>
      <c r="F17" s="178"/>
      <c r="G17" s="178"/>
      <c r="H17" s="178"/>
      <c r="I17" s="12"/>
      <c r="J17" s="12"/>
      <c r="K17" s="12"/>
      <c r="L17" s="13"/>
    </row>
    <row r="18" spans="1:12" ht="18">
      <c r="A18" s="17"/>
      <c r="B18" s="18" t="s">
        <v>22</v>
      </c>
      <c r="C18" s="19"/>
      <c r="D18" s="4"/>
      <c r="E18" s="4"/>
      <c r="F18" s="4"/>
      <c r="G18" s="4"/>
      <c r="H18" s="4"/>
      <c r="I18" s="4"/>
      <c r="J18" s="4"/>
      <c r="K18" s="4"/>
      <c r="L18" s="30"/>
    </row>
    <row r="19" spans="1:12" ht="9.6" customHeight="1">
      <c r="A19" s="31"/>
      <c r="B19" s="22"/>
      <c r="C19" s="23"/>
      <c r="D19" s="24"/>
      <c r="E19" s="178"/>
      <c r="F19" s="178"/>
      <c r="G19" s="178"/>
      <c r="H19" s="178"/>
      <c r="I19" s="12"/>
      <c r="J19" s="12"/>
      <c r="K19" s="12"/>
      <c r="L19" s="13"/>
    </row>
    <row r="20" spans="1:12" ht="18">
      <c r="A20" s="32"/>
      <c r="B20" s="33" t="s">
        <v>23</v>
      </c>
      <c r="C20" s="68">
        <f>SROI!C54</f>
        <v>6.2022836835846054</v>
      </c>
      <c r="D20" s="12"/>
      <c r="E20" s="178"/>
      <c r="F20" s="178"/>
      <c r="G20" s="178"/>
      <c r="H20" s="178"/>
      <c r="I20" s="12"/>
      <c r="J20" s="12"/>
      <c r="K20" s="12"/>
      <c r="L20" s="13"/>
    </row>
    <row r="21" spans="1:12">
      <c r="A21" s="34"/>
      <c r="B21" s="27" t="s">
        <v>24</v>
      </c>
      <c r="C21" s="180" t="s">
        <v>25</v>
      </c>
      <c r="D21" s="178"/>
      <c r="E21" s="178"/>
      <c r="F21" s="178"/>
      <c r="G21" s="178"/>
      <c r="H21" s="178"/>
      <c r="I21" s="12"/>
      <c r="J21" s="12"/>
      <c r="K21" s="12"/>
      <c r="L21" s="13"/>
    </row>
    <row r="22" spans="1:12">
      <c r="A22" s="34"/>
      <c r="B22" s="27" t="s">
        <v>26</v>
      </c>
      <c r="C22" s="180" t="s">
        <v>27</v>
      </c>
      <c r="D22" s="12"/>
      <c r="E22" s="178"/>
      <c r="F22" s="178"/>
      <c r="G22" s="178"/>
      <c r="H22" s="178"/>
      <c r="I22" s="12"/>
      <c r="J22" s="12"/>
      <c r="K22" s="12"/>
      <c r="L22" s="13"/>
    </row>
    <row r="23" spans="1:12">
      <c r="A23" s="34"/>
      <c r="B23" s="27" t="s">
        <v>28</v>
      </c>
      <c r="C23" s="186" t="s">
        <v>29</v>
      </c>
      <c r="D23" s="12"/>
      <c r="E23" s="178"/>
      <c r="F23" s="178"/>
      <c r="G23" s="178"/>
      <c r="H23" s="178"/>
      <c r="I23" s="12"/>
      <c r="J23" s="12"/>
      <c r="K23" s="12"/>
      <c r="L23" s="13"/>
    </row>
    <row r="24" spans="1:12">
      <c r="A24" s="34"/>
      <c r="B24" s="29"/>
      <c r="C24" s="187"/>
      <c r="D24" s="12"/>
      <c r="E24" s="178"/>
      <c r="F24" s="178"/>
      <c r="G24" s="178"/>
      <c r="H24" s="178"/>
      <c r="I24" s="12"/>
      <c r="J24" s="12"/>
      <c r="K24" s="12"/>
      <c r="L24" s="13"/>
    </row>
    <row r="25" spans="1:12" ht="43.15" customHeight="1">
      <c r="A25" s="31"/>
      <c r="B25" s="87" t="s">
        <v>30</v>
      </c>
      <c r="C25" s="188" t="s">
        <v>31</v>
      </c>
      <c r="D25" s="24"/>
      <c r="E25" s="178"/>
      <c r="F25" s="178"/>
      <c r="G25" s="178"/>
      <c r="H25" s="178"/>
      <c r="I25" s="12"/>
      <c r="J25" s="12"/>
      <c r="K25" s="12"/>
      <c r="L25" s="13"/>
    </row>
    <row r="26" spans="1:12" ht="18">
      <c r="A26" s="31"/>
      <c r="B26" s="88" t="s">
        <v>32</v>
      </c>
      <c r="C26" s="189">
        <f>'Sensitivity analysis'!F35</f>
        <v>1.4057130005440159</v>
      </c>
      <c r="D26" s="24"/>
      <c r="E26" s="178"/>
      <c r="F26" s="178"/>
      <c r="G26" s="178"/>
      <c r="H26" s="178"/>
      <c r="I26" s="12"/>
      <c r="J26" s="12"/>
      <c r="K26" s="12"/>
      <c r="L26" s="13"/>
    </row>
    <row r="27" spans="1:12" ht="18">
      <c r="A27" s="31"/>
      <c r="B27" s="88" t="s">
        <v>33</v>
      </c>
      <c r="C27" s="189">
        <f>'Sensitivity analysis'!J33</f>
        <v>8.8305751616129218</v>
      </c>
      <c r="D27" s="24"/>
      <c r="E27" s="178"/>
      <c r="F27" s="178"/>
      <c r="G27" s="178"/>
      <c r="H27" s="178"/>
      <c r="I27" s="12"/>
      <c r="J27" s="12"/>
      <c r="K27" s="12"/>
      <c r="L27" s="13"/>
    </row>
    <row r="28" spans="1:12" ht="18">
      <c r="A28" s="31"/>
      <c r="B28" s="12"/>
      <c r="C28" s="12"/>
      <c r="D28" s="24"/>
      <c r="E28" s="178"/>
      <c r="F28" s="178"/>
      <c r="G28" s="178"/>
      <c r="H28" s="178"/>
      <c r="I28" s="12"/>
      <c r="J28" s="12"/>
      <c r="K28" s="12"/>
      <c r="L28" s="13"/>
    </row>
    <row r="29" spans="1:12" ht="18">
      <c r="A29" s="17"/>
      <c r="B29" s="18" t="s">
        <v>34</v>
      </c>
      <c r="C29" s="18"/>
      <c r="D29" s="18"/>
      <c r="E29" s="176"/>
      <c r="F29" s="176"/>
      <c r="G29" s="176"/>
      <c r="H29" s="176"/>
      <c r="I29" s="20"/>
      <c r="J29" s="20"/>
      <c r="K29" s="20"/>
      <c r="L29" s="67"/>
    </row>
    <row r="30" spans="1:12" ht="9" customHeight="1">
      <c r="A30" s="31"/>
      <c r="B30" s="22"/>
      <c r="C30" s="23"/>
      <c r="D30" s="24"/>
      <c r="E30" s="178"/>
      <c r="F30" s="178"/>
      <c r="G30" s="178"/>
      <c r="H30" s="178"/>
      <c r="I30" s="12"/>
      <c r="J30" s="12"/>
      <c r="K30" s="12"/>
      <c r="L30" s="13"/>
    </row>
    <row r="31" spans="1:12" ht="43.15">
      <c r="A31" s="34"/>
      <c r="B31" s="27" t="s">
        <v>35</v>
      </c>
      <c r="C31" s="180" t="s">
        <v>36</v>
      </c>
      <c r="D31" s="178"/>
      <c r="E31" s="178"/>
      <c r="F31" s="178"/>
      <c r="G31" s="178"/>
      <c r="H31" s="178"/>
      <c r="I31" s="12"/>
      <c r="J31" s="12"/>
      <c r="K31" s="12"/>
      <c r="L31" s="13"/>
    </row>
    <row r="32" spans="1:12">
      <c r="A32" s="34"/>
      <c r="B32" s="27" t="s">
        <v>37</v>
      </c>
      <c r="C32" s="180" t="s">
        <v>38</v>
      </c>
      <c r="D32" s="178"/>
      <c r="E32" s="178"/>
      <c r="F32" s="178"/>
      <c r="G32" s="178"/>
      <c r="H32" s="178"/>
      <c r="I32" s="12"/>
      <c r="J32" s="12"/>
      <c r="K32" s="12"/>
      <c r="L32" s="13"/>
    </row>
    <row r="33" spans="1:12" ht="43.15">
      <c r="A33" s="34"/>
      <c r="B33" s="27" t="s">
        <v>39</v>
      </c>
      <c r="C33" s="180" t="s">
        <v>40</v>
      </c>
      <c r="D33" s="178"/>
      <c r="E33" s="178"/>
      <c r="F33" s="178"/>
      <c r="G33" s="178"/>
      <c r="H33" s="178"/>
      <c r="I33" s="12"/>
      <c r="J33" s="12"/>
      <c r="K33" s="12"/>
      <c r="L33" s="13"/>
    </row>
    <row r="34" spans="1:12">
      <c r="A34" s="34"/>
      <c r="B34" s="27" t="s">
        <v>41</v>
      </c>
      <c r="C34" s="180" t="s">
        <v>42</v>
      </c>
      <c r="D34" s="178"/>
      <c r="E34" s="178"/>
      <c r="F34" s="178"/>
      <c r="G34" s="178"/>
      <c r="H34" s="178"/>
      <c r="I34" s="12"/>
      <c r="J34" s="12"/>
      <c r="K34" s="12"/>
      <c r="L34" s="13"/>
    </row>
    <row r="35" spans="1:12">
      <c r="A35" s="34"/>
      <c r="B35" s="27" t="s">
        <v>43</v>
      </c>
      <c r="C35" s="180" t="s">
        <v>44</v>
      </c>
      <c r="D35" s="178"/>
      <c r="E35" s="178"/>
      <c r="F35" s="178"/>
      <c r="G35" s="178"/>
      <c r="H35" s="178"/>
      <c r="I35" s="12"/>
      <c r="J35" s="12"/>
      <c r="K35" s="12"/>
      <c r="L35" s="13"/>
    </row>
    <row r="36" spans="1:12">
      <c r="A36" s="34"/>
      <c r="B36" s="27" t="s">
        <v>45</v>
      </c>
      <c r="C36" s="180" t="s">
        <v>46</v>
      </c>
      <c r="D36" s="178"/>
      <c r="E36" s="178"/>
      <c r="F36" s="178"/>
      <c r="G36" s="178"/>
      <c r="H36" s="178"/>
      <c r="I36" s="12"/>
      <c r="J36" s="12"/>
      <c r="K36" s="12"/>
      <c r="L36" s="13"/>
    </row>
    <row r="37" spans="1:12">
      <c r="A37" s="190"/>
      <c r="B37" s="187"/>
      <c r="C37" s="185"/>
      <c r="D37" s="178"/>
      <c r="E37" s="178"/>
      <c r="F37" s="178"/>
      <c r="G37" s="178"/>
      <c r="H37" s="178"/>
      <c r="I37" s="12"/>
      <c r="J37" s="12"/>
      <c r="K37" s="12"/>
      <c r="L37" s="13"/>
    </row>
    <row r="38" spans="1:12" ht="18">
      <c r="A38" s="17"/>
      <c r="B38" s="18" t="s">
        <v>47</v>
      </c>
      <c r="C38" s="19"/>
      <c r="D38" s="4"/>
      <c r="E38" s="176"/>
      <c r="F38" s="176"/>
      <c r="G38" s="176"/>
      <c r="H38" s="176"/>
      <c r="I38" s="20"/>
      <c r="J38" s="20"/>
      <c r="K38" s="20"/>
      <c r="L38" s="21"/>
    </row>
    <row r="39" spans="1:12" ht="18">
      <c r="A39" s="31"/>
      <c r="B39" s="22"/>
      <c r="C39" s="23"/>
      <c r="D39" s="24"/>
      <c r="E39" s="178"/>
      <c r="F39" s="178"/>
      <c r="G39" s="178"/>
      <c r="H39" s="178"/>
      <c r="I39" s="12"/>
      <c r="J39" s="12"/>
      <c r="K39" s="12"/>
      <c r="L39" s="13"/>
    </row>
    <row r="40" spans="1:12">
      <c r="A40" s="34"/>
      <c r="B40" s="60" t="s">
        <v>48</v>
      </c>
      <c r="C40" s="253" t="s">
        <v>49</v>
      </c>
      <c r="D40" s="254"/>
      <c r="E40" s="254"/>
      <c r="F40" s="254"/>
      <c r="G40" s="254"/>
      <c r="H40" s="254"/>
      <c r="I40" s="254"/>
      <c r="J40" s="90"/>
      <c r="K40" s="90"/>
      <c r="L40" s="91"/>
    </row>
    <row r="41" spans="1:12">
      <c r="A41" s="34"/>
      <c r="B41" s="61" t="s">
        <v>50</v>
      </c>
      <c r="C41" s="253" t="s">
        <v>49</v>
      </c>
      <c r="D41" s="254"/>
      <c r="E41" s="254"/>
      <c r="F41" s="254"/>
      <c r="G41" s="254"/>
      <c r="H41" s="254"/>
      <c r="I41" s="254"/>
      <c r="J41" s="90"/>
      <c r="K41" s="90"/>
      <c r="L41" s="91"/>
    </row>
    <row r="42" spans="1:12" ht="28.9">
      <c r="A42" s="34"/>
      <c r="B42" s="61" t="s">
        <v>51</v>
      </c>
      <c r="C42" s="255" t="s">
        <v>49</v>
      </c>
      <c r="D42" s="255"/>
      <c r="E42" s="255"/>
      <c r="F42" s="255"/>
      <c r="G42" s="255"/>
      <c r="H42" s="255"/>
      <c r="I42" s="256"/>
      <c r="J42" s="90"/>
      <c r="K42" s="90"/>
      <c r="L42" s="91"/>
    </row>
    <row r="43" spans="1:12">
      <c r="A43" s="37"/>
      <c r="B43" s="38"/>
      <c r="C43" s="16"/>
      <c r="D43" s="12"/>
      <c r="E43" s="12"/>
      <c r="F43" s="12"/>
      <c r="G43" s="12"/>
      <c r="H43" s="12"/>
      <c r="I43" s="12"/>
      <c r="J43" s="12"/>
      <c r="K43" s="12"/>
      <c r="L43" s="13"/>
    </row>
    <row r="44" spans="1:12" ht="18">
      <c r="A44" s="17"/>
      <c r="B44" s="18" t="s">
        <v>52</v>
      </c>
      <c r="C44" s="19"/>
      <c r="D44" s="4"/>
      <c r="E44" s="176"/>
      <c r="F44" s="176"/>
      <c r="G44" s="176"/>
      <c r="H44" s="176"/>
      <c r="I44" s="20"/>
      <c r="J44" s="20"/>
      <c r="K44" s="20"/>
      <c r="L44" s="21"/>
    </row>
    <row r="45" spans="1:12">
      <c r="A45" s="37"/>
      <c r="B45" s="38"/>
      <c r="C45" s="16"/>
      <c r="D45" s="12"/>
      <c r="E45" s="12"/>
      <c r="F45" s="12"/>
      <c r="G45" s="12"/>
      <c r="H45" s="12"/>
      <c r="I45" s="12"/>
      <c r="J45" s="12"/>
      <c r="K45" s="12"/>
      <c r="L45" s="13"/>
    </row>
    <row r="46" spans="1:12">
      <c r="A46" s="37"/>
      <c r="B46" s="38"/>
      <c r="C46" s="16"/>
      <c r="D46" s="12"/>
      <c r="E46" s="12"/>
      <c r="F46" s="12"/>
      <c r="G46" s="12"/>
      <c r="H46" s="12"/>
      <c r="I46" s="12"/>
      <c r="J46" s="12"/>
      <c r="K46" s="12"/>
      <c r="L46" s="13"/>
    </row>
    <row r="47" spans="1:12">
      <c r="A47" s="37"/>
      <c r="B47" s="38"/>
      <c r="C47" s="16"/>
      <c r="D47" s="39"/>
      <c r="E47" s="12"/>
      <c r="F47" s="12"/>
      <c r="G47" s="12"/>
      <c r="H47" s="12"/>
      <c r="I47" s="12"/>
      <c r="J47" s="12"/>
      <c r="K47" s="12"/>
      <c r="L47" s="13"/>
    </row>
    <row r="48" spans="1:12">
      <c r="A48" s="40"/>
      <c r="B48"/>
      <c r="C48" s="41"/>
      <c r="D48" s="39"/>
      <c r="E48" s="42"/>
      <c r="F48" s="43"/>
      <c r="G48" s="43"/>
      <c r="H48" s="12"/>
      <c r="I48" s="12"/>
      <c r="J48" s="12"/>
      <c r="K48" s="12"/>
      <c r="L48" s="13"/>
    </row>
    <row r="49" spans="1:12">
      <c r="A49" s="40"/>
      <c r="B49"/>
      <c r="C49" s="41"/>
      <c r="D49" s="39"/>
      <c r="E49" s="42"/>
      <c r="H49" s="12"/>
      <c r="I49" s="12"/>
      <c r="J49" s="12"/>
      <c r="K49" s="12"/>
      <c r="L49" s="13"/>
    </row>
    <row r="50" spans="1:12">
      <c r="A50" s="40"/>
      <c r="B50" t="s">
        <v>53</v>
      </c>
      <c r="C50" s="41">
        <f>SROI!C48</f>
        <v>749.30889365336827</v>
      </c>
      <c r="D50" s="39"/>
      <c r="E50" s="250"/>
      <c r="F50" s="48" t="s">
        <v>54</v>
      </c>
      <c r="G50" s="43">
        <f>SROI!C46</f>
        <v>20680925.464832965</v>
      </c>
      <c r="H50" s="12"/>
      <c r="I50" s="12"/>
      <c r="J50" s="12"/>
      <c r="K50" s="12"/>
      <c r="L50" s="13"/>
    </row>
    <row r="51" spans="1:12">
      <c r="A51" s="37"/>
      <c r="B51" t="s">
        <v>55</v>
      </c>
      <c r="C51" s="41">
        <f>SROI!C42</f>
        <v>120.8117738368758</v>
      </c>
      <c r="D51" s="12"/>
      <c r="E51" s="250"/>
      <c r="F51" s="48" t="s">
        <v>56</v>
      </c>
      <c r="G51" s="43">
        <f>SROI!C41</f>
        <v>3334404.9578977721</v>
      </c>
      <c r="H51" s="12"/>
      <c r="I51" s="12"/>
      <c r="J51" s="12"/>
      <c r="K51" s="12"/>
      <c r="L51" s="13"/>
    </row>
    <row r="52" spans="1:12">
      <c r="A52" s="37"/>
      <c r="B52" s="38" t="s">
        <v>57</v>
      </c>
      <c r="C52" s="41">
        <f>SROI!C49</f>
        <v>628.4971198164925</v>
      </c>
      <c r="D52" s="12"/>
      <c r="E52" s="250"/>
      <c r="F52" s="48" t="s">
        <v>58</v>
      </c>
      <c r="G52" s="43">
        <f>SROI!C47</f>
        <v>17346520.506935194</v>
      </c>
      <c r="H52" s="12"/>
      <c r="I52" s="12"/>
      <c r="J52" s="12"/>
      <c r="K52" s="12"/>
      <c r="L52" s="13"/>
    </row>
    <row r="53" spans="1:12">
      <c r="A53" s="14"/>
      <c r="B53" s="15"/>
      <c r="C53" s="16"/>
      <c r="D53" s="12"/>
      <c r="E53" s="12"/>
      <c r="F53" s="12"/>
      <c r="G53" s="12"/>
      <c r="H53" s="12"/>
      <c r="I53" s="12"/>
      <c r="J53" s="12"/>
      <c r="K53" s="12"/>
      <c r="L53" s="13"/>
    </row>
    <row r="54" spans="1:12">
      <c r="A54" s="14"/>
      <c r="B54" s="15"/>
      <c r="C54" s="16"/>
      <c r="D54" s="12"/>
      <c r="E54" s="12"/>
      <c r="F54" s="12"/>
      <c r="G54" s="12"/>
      <c r="H54" s="12"/>
      <c r="J54" s="12"/>
      <c r="K54" s="12"/>
      <c r="L54" s="13"/>
    </row>
    <row r="55" spans="1:12">
      <c r="A55" s="14"/>
      <c r="B55" s="15"/>
      <c r="C55" s="16"/>
      <c r="D55" s="12"/>
      <c r="E55" s="12"/>
      <c r="F55" s="12"/>
      <c r="G55" s="12"/>
      <c r="H55" s="12"/>
      <c r="I55" s="12"/>
      <c r="J55" s="12"/>
      <c r="K55" s="12"/>
      <c r="L55" s="13"/>
    </row>
    <row r="56" spans="1:12">
      <c r="A56" s="14"/>
      <c r="B56" s="15"/>
      <c r="C56" s="16"/>
      <c r="D56" s="12"/>
      <c r="E56" s="12"/>
      <c r="F56" s="12"/>
      <c r="G56" s="12"/>
      <c r="H56" s="12"/>
      <c r="I56" s="12"/>
      <c r="J56" s="12"/>
      <c r="K56" s="12"/>
      <c r="L56" s="13"/>
    </row>
    <row r="57" spans="1:12">
      <c r="A57" s="14"/>
      <c r="B57" s="15"/>
      <c r="C57" s="16"/>
      <c r="D57" s="12"/>
      <c r="E57" s="12"/>
      <c r="F57" s="12"/>
      <c r="G57" s="12"/>
      <c r="H57" s="12"/>
      <c r="I57" s="12"/>
      <c r="J57" s="12"/>
      <c r="K57" s="12"/>
      <c r="L57" s="13"/>
    </row>
    <row r="58" spans="1:12">
      <c r="A58" s="14"/>
      <c r="B58" s="15"/>
      <c r="C58" s="16"/>
      <c r="D58" s="12"/>
      <c r="E58" s="12"/>
      <c r="F58" s="12"/>
      <c r="G58" s="12"/>
      <c r="H58" s="12"/>
      <c r="I58" s="12"/>
      <c r="J58" s="12"/>
      <c r="K58" s="12"/>
      <c r="L58" s="13"/>
    </row>
    <row r="59" spans="1:12">
      <c r="A59" s="14"/>
      <c r="B59" s="15"/>
      <c r="C59" s="16"/>
      <c r="D59" s="12"/>
      <c r="E59" s="12"/>
      <c r="F59" s="12"/>
      <c r="G59" s="12"/>
      <c r="H59" s="12"/>
      <c r="I59" s="12"/>
      <c r="J59" s="12"/>
      <c r="K59" s="12"/>
      <c r="L59" s="13"/>
    </row>
    <row r="60" spans="1:12">
      <c r="A60" s="14"/>
      <c r="B60" s="15"/>
      <c r="C60" s="16"/>
      <c r="D60" s="12"/>
      <c r="E60" s="12"/>
      <c r="F60" s="12"/>
      <c r="G60" s="12"/>
      <c r="H60" s="12"/>
      <c r="I60" s="12"/>
      <c r="J60" s="12"/>
      <c r="K60" s="12"/>
      <c r="L60" s="13"/>
    </row>
    <row r="61" spans="1:12">
      <c r="A61" s="14"/>
      <c r="B61" s="15"/>
      <c r="C61" s="16"/>
      <c r="D61" s="12"/>
      <c r="E61" s="12"/>
      <c r="F61" s="12"/>
      <c r="G61" s="12"/>
      <c r="H61" s="12"/>
      <c r="I61" s="12"/>
      <c r="J61" s="12"/>
      <c r="K61" s="12"/>
      <c r="L61" s="13"/>
    </row>
    <row r="62" spans="1:12">
      <c r="A62" s="14"/>
      <c r="B62" s="15"/>
      <c r="C62" s="16"/>
      <c r="D62" s="12"/>
      <c r="E62" s="12"/>
      <c r="F62" s="12"/>
      <c r="G62" s="12"/>
      <c r="H62" s="12"/>
      <c r="I62" s="12"/>
      <c r="J62" s="12"/>
      <c r="K62" s="12"/>
      <c r="L62" s="13"/>
    </row>
    <row r="63" spans="1:12">
      <c r="A63" s="14"/>
      <c r="B63" s="15"/>
      <c r="C63" s="16"/>
      <c r="D63" s="12"/>
      <c r="E63" s="12"/>
      <c r="F63" s="12"/>
      <c r="G63" s="12"/>
      <c r="H63" s="12"/>
      <c r="I63" s="12"/>
      <c r="J63" s="12"/>
      <c r="K63" s="12"/>
      <c r="L63" s="13"/>
    </row>
    <row r="64" spans="1:12">
      <c r="A64" s="14"/>
      <c r="B64" s="15"/>
      <c r="C64" s="16"/>
      <c r="D64" s="12"/>
      <c r="E64" s="12"/>
      <c r="F64" s="12"/>
      <c r="G64" s="12"/>
      <c r="H64" s="12"/>
      <c r="I64" s="12"/>
      <c r="J64" s="12"/>
      <c r="K64" s="12"/>
      <c r="L64" s="13"/>
    </row>
    <row r="65" spans="1:12">
      <c r="A65" s="14"/>
      <c r="B65" s="15"/>
      <c r="C65" s="16"/>
      <c r="D65" s="12"/>
      <c r="E65" s="12"/>
      <c r="F65" s="12"/>
      <c r="G65" s="12"/>
      <c r="H65" s="12"/>
      <c r="I65" s="12"/>
      <c r="J65" s="12"/>
      <c r="K65" s="12"/>
      <c r="L65" s="13"/>
    </row>
    <row r="66" spans="1:12">
      <c r="A66" s="12"/>
      <c r="B66" s="12"/>
      <c r="C66" s="12"/>
      <c r="D66" s="12"/>
      <c r="E66" s="12"/>
      <c r="F66" s="12"/>
      <c r="G66" s="12"/>
      <c r="H66" s="12"/>
      <c r="I66" s="12"/>
      <c r="J66" s="12"/>
      <c r="K66" s="12"/>
      <c r="L66" s="13"/>
    </row>
    <row r="67" spans="1:12" ht="15.6">
      <c r="A67" s="44"/>
      <c r="B67" s="59" t="s">
        <v>59</v>
      </c>
      <c r="C67" s="45"/>
      <c r="D67" s="46"/>
      <c r="E67" s="46"/>
      <c r="F67" s="46"/>
      <c r="G67" s="46"/>
      <c r="H67" s="46"/>
      <c r="I67" s="46"/>
      <c r="J67" s="46"/>
      <c r="K67" s="46"/>
      <c r="L67" s="47"/>
    </row>
  </sheetData>
  <mergeCells count="5">
    <mergeCell ref="E50:E52"/>
    <mergeCell ref="C2:E2"/>
    <mergeCell ref="C40:I40"/>
    <mergeCell ref="C41:I41"/>
    <mergeCell ref="C42:I42"/>
  </mergeCells>
  <conditionalFormatting sqref="C22 C25:C27">
    <cfRule type="cellIs" dxfId="15" priority="8" operator="equal">
      <formula>"High"</formula>
    </cfRule>
    <cfRule type="cellIs" dxfId="14" priority="9" operator="equal">
      <formula>"Medium"</formula>
    </cfRule>
    <cfRule type="cellIs" dxfId="13" priority="10" operator="equal">
      <formula>"Low"</formula>
    </cfRule>
  </conditionalFormatting>
  <conditionalFormatting sqref="C36">
    <cfRule type="cellIs" dxfId="12" priority="5" operator="equal">
      <formula>"Excellent"</formula>
    </cfRule>
    <cfRule type="cellIs" dxfId="11" priority="6" operator="equal">
      <formula>"Good"</formula>
    </cfRule>
    <cfRule type="cellIs" dxfId="10" priority="7" operator="equal">
      <formula>"Fair"</formula>
    </cfRule>
  </conditionalFormatting>
  <dataValidations count="3">
    <dataValidation type="list" allowBlank="1" showInputMessage="1" showErrorMessage="1" sqref="C22" xr:uid="{F4282980-838A-453C-9606-A29EE1C87F72}">
      <formula1>"Low, Medium, High"</formula1>
    </dataValidation>
    <dataValidation type="list" allowBlank="1" showInputMessage="1" showErrorMessage="1" sqref="C36" xr:uid="{86752230-D154-4F66-B2F9-5A4438981BAF}">
      <formula1>"Fair, Good, Excellent"</formula1>
    </dataValidation>
    <dataValidation type="list" allowBlank="1" showInputMessage="1" showErrorMessage="1" sqref="C21" xr:uid="{4F45852F-BF30-411E-A0E1-77B0B68C0BE5}">
      <formula1>"Forecast, Evaluative"</formula1>
    </dataValidation>
  </dataValidations>
  <hyperlinks>
    <hyperlink ref="C7" r:id="rId1" xr:uid="{85D6F614-584D-4912-8816-D73C35FC01B6}"/>
    <hyperlink ref="C8" r:id="rId2" xr:uid="{8D896380-F32D-4362-8961-7D66FDBF6AF5}"/>
  </hyperlinks>
  <pageMargins left="0.7" right="0.7" top="0.75" bottom="0.75" header="0.3" footer="0.3"/>
  <pageSetup paperSize="9" orientation="portrait" horizontalDpi="1200" verticalDpi="1200"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A6C36-EF32-47F7-89EB-BE6C9657B113}">
  <dimension ref="A1:U66"/>
  <sheetViews>
    <sheetView showGridLines="0" workbookViewId="0">
      <selection activeCell="X78" sqref="X78"/>
    </sheetView>
  </sheetViews>
  <sheetFormatPr defaultColWidth="9.42578125" defaultRowHeight="14.45"/>
  <cols>
    <col min="1" max="1" width="9.42578125" customWidth="1"/>
  </cols>
  <sheetData>
    <row r="1" spans="1:20" ht="18">
      <c r="A1" s="93"/>
      <c r="B1" s="94" t="s">
        <v>60</v>
      </c>
      <c r="C1" s="95"/>
      <c r="D1" s="95"/>
      <c r="E1" s="95"/>
      <c r="F1" s="95"/>
      <c r="G1" s="95"/>
      <c r="H1" s="95"/>
      <c r="I1" s="95"/>
      <c r="J1" s="95"/>
      <c r="K1" s="95"/>
      <c r="L1" s="95"/>
      <c r="M1" s="95"/>
      <c r="N1" s="95"/>
      <c r="O1" s="95"/>
      <c r="P1" s="95"/>
      <c r="Q1" s="95"/>
      <c r="R1" s="95"/>
      <c r="S1" s="95"/>
      <c r="T1" s="96"/>
    </row>
    <row r="2" spans="1:20">
      <c r="T2" s="51"/>
    </row>
    <row r="3" spans="1:20">
      <c r="T3" s="51"/>
    </row>
    <row r="4" spans="1:20">
      <c r="T4" s="51"/>
    </row>
    <row r="5" spans="1:20">
      <c r="T5" s="51"/>
    </row>
    <row r="6" spans="1:20">
      <c r="T6" s="51"/>
    </row>
    <row r="7" spans="1:20">
      <c r="T7" s="51"/>
    </row>
    <row r="8" spans="1:20">
      <c r="T8" s="51"/>
    </row>
    <row r="9" spans="1:20">
      <c r="T9" s="51"/>
    </row>
    <row r="10" spans="1:20">
      <c r="T10" s="51"/>
    </row>
    <row r="11" spans="1:20">
      <c r="T11" s="51"/>
    </row>
    <row r="12" spans="1:20">
      <c r="T12" s="51"/>
    </row>
    <row r="13" spans="1:20">
      <c r="T13" s="51"/>
    </row>
    <row r="14" spans="1:20">
      <c r="T14" s="51"/>
    </row>
    <row r="15" spans="1:20">
      <c r="T15" s="51"/>
    </row>
    <row r="16" spans="1:20">
      <c r="T16" s="51"/>
    </row>
    <row r="17" spans="1:20">
      <c r="T17" s="51"/>
    </row>
    <row r="18" spans="1:20">
      <c r="T18" s="51"/>
    </row>
    <row r="19" spans="1:20">
      <c r="T19" s="51"/>
    </row>
    <row r="20" spans="1:20">
      <c r="T20" s="51"/>
    </row>
    <row r="21" spans="1:20">
      <c r="T21" s="51"/>
    </row>
    <row r="22" spans="1:20">
      <c r="T22" s="51"/>
    </row>
    <row r="23" spans="1:20">
      <c r="T23" s="51"/>
    </row>
    <row r="24" spans="1:20">
      <c r="T24" s="51"/>
    </row>
    <row r="25" spans="1:20">
      <c r="T25" s="51"/>
    </row>
    <row r="26" spans="1:20">
      <c r="T26" s="51"/>
    </row>
    <row r="27" spans="1:20" ht="18">
      <c r="A27" s="97"/>
      <c r="B27" s="98" t="s">
        <v>61</v>
      </c>
      <c r="C27" s="4"/>
      <c r="D27" s="4"/>
      <c r="E27" s="4"/>
      <c r="F27" s="4"/>
      <c r="G27" s="4"/>
      <c r="H27" s="4"/>
      <c r="I27" s="4"/>
      <c r="J27" s="4"/>
      <c r="K27" s="4"/>
      <c r="L27" s="4"/>
      <c r="M27" s="4"/>
      <c r="N27" s="4"/>
      <c r="O27" s="4"/>
      <c r="P27" s="4"/>
      <c r="Q27" s="4"/>
      <c r="R27" s="4"/>
      <c r="S27" s="4"/>
      <c r="T27" s="54"/>
    </row>
    <row r="28" spans="1:20">
      <c r="T28" s="51"/>
    </row>
    <row r="29" spans="1:20">
      <c r="T29" s="51"/>
    </row>
    <row r="30" spans="1:20">
      <c r="T30" s="51"/>
    </row>
    <row r="31" spans="1:20">
      <c r="T31" s="51"/>
    </row>
    <row r="32" spans="1:20">
      <c r="T32" s="51"/>
    </row>
    <row r="33" spans="20:20">
      <c r="T33" s="51"/>
    </row>
    <row r="34" spans="20:20">
      <c r="T34" s="51"/>
    </row>
    <row r="35" spans="20:20">
      <c r="T35" s="51"/>
    </row>
    <row r="36" spans="20:20">
      <c r="T36" s="51"/>
    </row>
    <row r="37" spans="20:20">
      <c r="T37" s="51"/>
    </row>
    <row r="38" spans="20:20">
      <c r="T38" s="51"/>
    </row>
    <row r="39" spans="20:20">
      <c r="T39" s="51"/>
    </row>
    <row r="40" spans="20:20">
      <c r="T40" s="51"/>
    </row>
    <row r="41" spans="20:20">
      <c r="T41" s="51"/>
    </row>
    <row r="42" spans="20:20">
      <c r="T42" s="51"/>
    </row>
    <row r="43" spans="20:20">
      <c r="T43" s="51"/>
    </row>
    <row r="44" spans="20:20">
      <c r="T44" s="51"/>
    </row>
    <row r="45" spans="20:20">
      <c r="T45" s="51"/>
    </row>
    <row r="46" spans="20:20">
      <c r="T46" s="51"/>
    </row>
    <row r="47" spans="20:20">
      <c r="T47" s="51"/>
    </row>
    <row r="48" spans="20:20">
      <c r="T48" s="51"/>
    </row>
    <row r="49" spans="20:21">
      <c r="T49" s="51"/>
    </row>
    <row r="50" spans="20:21">
      <c r="T50" s="51"/>
    </row>
    <row r="51" spans="20:21">
      <c r="T51" s="51"/>
    </row>
    <row r="52" spans="20:21">
      <c r="T52" s="51"/>
    </row>
    <row r="53" spans="20:21">
      <c r="T53" s="51"/>
    </row>
    <row r="54" spans="20:21">
      <c r="T54" s="51"/>
    </row>
    <row r="55" spans="20:21">
      <c r="T55" s="51"/>
    </row>
    <row r="56" spans="20:21">
      <c r="T56" s="51"/>
    </row>
    <row r="57" spans="20:21">
      <c r="T57" s="51"/>
    </row>
    <row r="58" spans="20:21">
      <c r="T58" s="51"/>
    </row>
    <row r="59" spans="20:21">
      <c r="T59" s="51"/>
    </row>
    <row r="60" spans="20:21">
      <c r="T60" s="51"/>
    </row>
    <row r="61" spans="20:21">
      <c r="T61" s="51"/>
    </row>
    <row r="62" spans="20:21">
      <c r="T62" s="51"/>
    </row>
    <row r="63" spans="20:21">
      <c r="U63" s="53"/>
    </row>
    <row r="64" spans="20:21">
      <c r="T64" s="51"/>
    </row>
    <row r="65" spans="1:20">
      <c r="T65" s="51"/>
    </row>
    <row r="66" spans="1:20">
      <c r="A66" s="55"/>
      <c r="B66" s="55"/>
      <c r="C66" s="55"/>
      <c r="D66" s="55"/>
      <c r="E66" s="55"/>
      <c r="F66" s="55"/>
      <c r="G66" s="55"/>
      <c r="H66" s="55"/>
      <c r="I66" s="55"/>
      <c r="J66" s="55"/>
      <c r="K66" s="55"/>
      <c r="L66" s="55"/>
      <c r="M66" s="55"/>
      <c r="N66" s="55"/>
      <c r="O66" s="55"/>
      <c r="P66" s="55"/>
      <c r="Q66" s="55"/>
      <c r="R66" s="55"/>
      <c r="S66" s="55"/>
      <c r="T66" s="56"/>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E37F8-203B-44F8-B408-7D42B97454D4}">
  <dimension ref="A1:S40"/>
  <sheetViews>
    <sheetView showGridLines="0" topLeftCell="B1" zoomScale="90" zoomScaleNormal="90" workbookViewId="0">
      <selection activeCell="Q39" sqref="Q39"/>
    </sheetView>
  </sheetViews>
  <sheetFormatPr defaultColWidth="9.42578125" defaultRowHeight="14.45"/>
  <cols>
    <col min="1" max="1" width="3.140625" customWidth="1"/>
    <col min="2" max="2" width="47.7109375" customWidth="1"/>
    <col min="3" max="3" width="29.5703125" customWidth="1"/>
    <col min="4" max="4" width="20.28515625" customWidth="1"/>
    <col min="5" max="5" width="29.28515625" customWidth="1"/>
    <col min="6" max="6" width="22.42578125" customWidth="1"/>
    <col min="7" max="7" width="14" customWidth="1"/>
    <col min="8" max="8" width="12.42578125" customWidth="1"/>
    <col min="9" max="9" width="13.42578125" customWidth="1"/>
    <col min="10" max="10" width="11.7109375" customWidth="1"/>
    <col min="11" max="11" width="13.42578125" customWidth="1"/>
    <col min="12" max="12" width="10.7109375" customWidth="1"/>
    <col min="13" max="13" width="12.7109375" customWidth="1"/>
    <col min="14" max="14" width="11.5703125" customWidth="1"/>
    <col min="15" max="15" width="10.5703125" customWidth="1"/>
  </cols>
  <sheetData>
    <row r="1" spans="1:19" ht="21.6" customHeight="1">
      <c r="A1" s="20"/>
      <c r="B1" s="98" t="s">
        <v>62</v>
      </c>
      <c r="C1" s="121"/>
      <c r="D1" s="129"/>
      <c r="E1" s="121"/>
      <c r="F1" s="121"/>
      <c r="G1" s="121"/>
      <c r="H1" s="121"/>
      <c r="I1" s="121"/>
      <c r="J1" s="121"/>
      <c r="K1" s="121"/>
      <c r="L1" s="121"/>
      <c r="M1" s="121"/>
      <c r="N1" s="121"/>
      <c r="O1" s="121"/>
      <c r="P1" s="122"/>
      <c r="Q1" s="122"/>
      <c r="R1" s="123"/>
    </row>
    <row r="2" spans="1:19" ht="9" customHeight="1">
      <c r="A2" s="50"/>
      <c r="B2" s="126"/>
      <c r="C2" s="118"/>
      <c r="D2" s="119"/>
      <c r="R2" s="51"/>
    </row>
    <row r="3" spans="1:19">
      <c r="A3" s="50"/>
      <c r="B3" s="99" t="s">
        <v>63</v>
      </c>
      <c r="C3" s="117" t="s">
        <v>38</v>
      </c>
      <c r="E3" s="257" t="s">
        <v>64</v>
      </c>
      <c r="F3" s="257"/>
      <c r="G3" s="257"/>
      <c r="H3" s="257"/>
      <c r="I3" s="257"/>
      <c r="J3" s="257"/>
      <c r="R3" s="51"/>
    </row>
    <row r="4" spans="1:19">
      <c r="A4" s="50"/>
      <c r="B4" s="99" t="s">
        <v>65</v>
      </c>
      <c r="C4" s="100">
        <v>2024</v>
      </c>
      <c r="E4" s="258" t="s">
        <v>66</v>
      </c>
      <c r="F4" s="258"/>
      <c r="G4" s="258"/>
      <c r="H4" s="258"/>
      <c r="I4" s="258"/>
      <c r="J4" s="258"/>
      <c r="R4" s="51"/>
    </row>
    <row r="5" spans="1:19">
      <c r="A5" s="50"/>
      <c r="B5" s="99" t="s">
        <v>67</v>
      </c>
      <c r="C5" s="100">
        <v>2021</v>
      </c>
      <c r="E5" s="259" t="s">
        <v>68</v>
      </c>
      <c r="F5" s="259"/>
      <c r="G5" s="259"/>
      <c r="H5" s="259"/>
      <c r="I5" s="259"/>
      <c r="J5" s="259"/>
      <c r="R5" s="51"/>
    </row>
    <row r="6" spans="1:19">
      <c r="A6" s="50"/>
      <c r="B6" s="99" t="s">
        <v>69</v>
      </c>
      <c r="C6" s="100" t="s">
        <v>70</v>
      </c>
      <c r="R6" s="51"/>
    </row>
    <row r="7" spans="1:19">
      <c r="A7" s="53"/>
      <c r="E7" s="120"/>
      <c r="F7" s="191"/>
      <c r="R7" s="51"/>
    </row>
    <row r="8" spans="1:19" ht="6.6" customHeight="1">
      <c r="A8" s="53"/>
      <c r="R8" s="51"/>
    </row>
    <row r="9" spans="1:19" ht="21" customHeight="1">
      <c r="A9" s="20"/>
      <c r="B9" s="98" t="s">
        <v>71</v>
      </c>
      <c r="C9" s="121"/>
      <c r="D9" s="121"/>
      <c r="E9" s="121"/>
      <c r="F9" s="121"/>
      <c r="G9" s="121"/>
      <c r="H9" s="121"/>
      <c r="I9" s="121"/>
      <c r="J9" s="121"/>
      <c r="K9" s="121"/>
      <c r="L9" s="121"/>
      <c r="M9" s="121"/>
      <c r="N9" s="121"/>
      <c r="O9" s="121"/>
      <c r="P9" s="122"/>
      <c r="Q9" s="122"/>
      <c r="R9" s="123"/>
    </row>
    <row r="10" spans="1:19" ht="15" customHeight="1">
      <c r="B10" s="127"/>
      <c r="C10" s="124"/>
      <c r="D10" s="124"/>
      <c r="E10" s="124"/>
      <c r="F10" s="124"/>
      <c r="G10" s="124"/>
      <c r="H10" s="124"/>
      <c r="I10" s="124"/>
      <c r="J10" s="124"/>
      <c r="K10" s="124"/>
      <c r="L10" s="124"/>
      <c r="M10" s="124"/>
      <c r="N10" s="124"/>
      <c r="O10" s="124"/>
      <c r="P10" s="115"/>
      <c r="Q10" s="115"/>
      <c r="R10" s="125"/>
      <c r="S10" s="115"/>
    </row>
    <row r="11" spans="1:19" ht="15" customHeight="1">
      <c r="B11" s="116" t="s">
        <v>72</v>
      </c>
      <c r="C11" s="116" t="s">
        <v>73</v>
      </c>
      <c r="D11" s="124"/>
      <c r="E11" s="124"/>
      <c r="F11" s="124"/>
      <c r="G11" s="124"/>
      <c r="H11" s="124"/>
      <c r="I11" s="124"/>
      <c r="J11" s="124"/>
      <c r="K11" s="124"/>
      <c r="L11" s="124"/>
      <c r="M11" s="124"/>
      <c r="N11" s="124"/>
      <c r="O11" s="124"/>
      <c r="P11" s="115"/>
      <c r="Q11" s="115"/>
      <c r="R11" s="125"/>
      <c r="S11" s="115"/>
    </row>
    <row r="12" spans="1:19" ht="14.25" customHeight="1">
      <c r="A12" s="53"/>
      <c r="B12" s="192" t="s">
        <v>74</v>
      </c>
      <c r="C12" s="193">
        <f>'Sensitivity analysis'!C5</f>
        <v>0.1</v>
      </c>
      <c r="R12" s="51"/>
    </row>
    <row r="13" spans="1:19" ht="17.25" customHeight="1">
      <c r="B13" s="194"/>
      <c r="C13" s="194"/>
      <c r="R13" s="51"/>
    </row>
    <row r="14" spans="1:19" ht="17.25" customHeight="1">
      <c r="A14" s="195"/>
      <c r="B14" s="115" t="s">
        <v>75</v>
      </c>
      <c r="C14" s="115"/>
      <c r="D14" s="115"/>
      <c r="E14" s="115"/>
      <c r="F14" s="115"/>
      <c r="G14" s="115"/>
      <c r="H14" s="115"/>
      <c r="I14" s="115"/>
      <c r="J14" s="115"/>
      <c r="K14" s="115"/>
      <c r="L14" s="115"/>
      <c r="M14" s="115"/>
      <c r="N14" s="115"/>
      <c r="O14" s="115"/>
      <c r="P14" s="115"/>
      <c r="Q14" s="115"/>
      <c r="R14" s="125"/>
    </row>
    <row r="15" spans="1:19">
      <c r="A15" s="62"/>
      <c r="B15" s="101" t="s">
        <v>72</v>
      </c>
      <c r="C15" s="101" t="s">
        <v>73</v>
      </c>
      <c r="D15" s="101" t="s">
        <v>76</v>
      </c>
      <c r="E15" s="101" t="s">
        <v>77</v>
      </c>
      <c r="R15" s="51"/>
    </row>
    <row r="16" spans="1:19" ht="16.149999999999999" customHeight="1">
      <c r="A16" s="62"/>
      <c r="B16" s="102" t="s">
        <v>78</v>
      </c>
      <c r="C16" s="104">
        <f>'Sensitivity analysis'!C6</f>
        <v>6764419</v>
      </c>
      <c r="D16" s="92" t="s">
        <v>79</v>
      </c>
      <c r="E16" s="103" t="s">
        <v>80</v>
      </c>
      <c r="R16" s="51"/>
    </row>
    <row r="17" spans="1:18">
      <c r="A17" s="62"/>
      <c r="B17" s="102" t="s">
        <v>81</v>
      </c>
      <c r="C17" s="105">
        <f>'Sensitivity analysis'!C7</f>
        <v>0.1</v>
      </c>
      <c r="D17" s="102" t="s">
        <v>82</v>
      </c>
      <c r="E17" s="102" t="s">
        <v>83</v>
      </c>
      <c r="R17" s="51"/>
    </row>
    <row r="18" spans="1:18">
      <c r="A18" s="196"/>
      <c r="B18" s="196"/>
      <c r="C18" s="196"/>
      <c r="D18" s="196"/>
      <c r="E18" s="196"/>
      <c r="F18" s="196"/>
      <c r="G18" s="196"/>
      <c r="H18" s="196"/>
      <c r="I18" s="196"/>
      <c r="J18" s="196"/>
      <c r="K18" s="196"/>
      <c r="L18" s="196"/>
      <c r="M18" s="196"/>
      <c r="N18" s="196"/>
      <c r="O18" s="196"/>
      <c r="P18" s="62"/>
      <c r="Q18" s="62"/>
      <c r="R18" s="197"/>
    </row>
    <row r="19" spans="1:18">
      <c r="B19" s="115" t="s">
        <v>84</v>
      </c>
      <c r="F19" s="115" t="s">
        <v>85</v>
      </c>
      <c r="R19" s="51"/>
    </row>
    <row r="20" spans="1:18">
      <c r="B20" s="106" t="s">
        <v>86</v>
      </c>
      <c r="C20" s="106" t="s">
        <v>87</v>
      </c>
      <c r="D20" s="106" t="s">
        <v>88</v>
      </c>
      <c r="E20" s="191"/>
      <c r="F20" s="106" t="s">
        <v>89</v>
      </c>
      <c r="G20" s="106" t="s">
        <v>90</v>
      </c>
      <c r="H20" s="106" t="s">
        <v>91</v>
      </c>
      <c r="I20" s="191"/>
      <c r="J20" s="191"/>
      <c r="R20" s="51"/>
    </row>
    <row r="21" spans="1:18">
      <c r="B21" s="102" t="s">
        <v>92</v>
      </c>
      <c r="C21" s="107">
        <f>6000/5</f>
        <v>1200</v>
      </c>
      <c r="D21" s="107">
        <v>1345</v>
      </c>
      <c r="E21" s="191"/>
      <c r="F21" s="102">
        <v>0.5</v>
      </c>
      <c r="G21" s="108">
        <f>C26</f>
        <v>5600</v>
      </c>
      <c r="H21" s="109">
        <f>G21/$G$25</f>
        <v>0.20289855072463769</v>
      </c>
      <c r="I21" s="191"/>
      <c r="J21" s="191"/>
      <c r="R21" s="51"/>
    </row>
    <row r="22" spans="1:18">
      <c r="B22" s="102" t="s">
        <v>93</v>
      </c>
      <c r="C22" s="107">
        <f>27000/5</f>
        <v>5400</v>
      </c>
      <c r="D22" s="107">
        <f>2057+4906</f>
        <v>6963</v>
      </c>
      <c r="E22" s="191"/>
      <c r="F22" s="102">
        <v>1</v>
      </c>
      <c r="G22" s="108">
        <f>C25</f>
        <v>5000</v>
      </c>
      <c r="H22" s="109">
        <f>G22/$G$25</f>
        <v>0.18115942028985507</v>
      </c>
      <c r="I22" s="191"/>
      <c r="J22" s="191"/>
      <c r="R22" s="51"/>
    </row>
    <row r="23" spans="1:18">
      <c r="B23" s="102" t="s">
        <v>94</v>
      </c>
      <c r="C23" s="107">
        <f>25000/5</f>
        <v>5000</v>
      </c>
      <c r="D23" s="107">
        <f>2014+2087</f>
        <v>4101</v>
      </c>
      <c r="E23" s="191"/>
      <c r="F23" s="102">
        <v>1.5</v>
      </c>
      <c r="G23" s="108">
        <f>C24</f>
        <v>5400</v>
      </c>
      <c r="H23" s="109">
        <f>G23/$G$25</f>
        <v>0.19565217391304349</v>
      </c>
      <c r="I23" s="191"/>
      <c r="J23" s="191"/>
      <c r="R23" s="51"/>
    </row>
    <row r="24" spans="1:18">
      <c r="B24" s="102" t="s">
        <v>95</v>
      </c>
      <c r="C24" s="107">
        <f>27000/5</f>
        <v>5400</v>
      </c>
      <c r="D24" s="107">
        <f>3121+2313</f>
        <v>5434</v>
      </c>
      <c r="E24" s="191"/>
      <c r="F24" s="102" t="s">
        <v>96</v>
      </c>
      <c r="G24" s="108">
        <f>C23+C22+C21</f>
        <v>11600</v>
      </c>
      <c r="H24" s="109">
        <f>G24/$G$25</f>
        <v>0.42028985507246375</v>
      </c>
      <c r="R24" s="51"/>
    </row>
    <row r="25" spans="1:18">
      <c r="B25" s="102" t="s">
        <v>97</v>
      </c>
      <c r="C25" s="107">
        <f>25000/5</f>
        <v>5000</v>
      </c>
      <c r="D25" s="107">
        <f>3605+1808</f>
        <v>5413</v>
      </c>
      <c r="E25" s="191"/>
      <c r="F25" s="102" t="s">
        <v>98</v>
      </c>
      <c r="G25" s="108">
        <f>SUM(G21:G24)</f>
        <v>27600</v>
      </c>
      <c r="H25" s="109">
        <f>G25/$G$25</f>
        <v>1</v>
      </c>
      <c r="I25" s="191"/>
      <c r="J25" s="191"/>
      <c r="R25" s="51"/>
    </row>
    <row r="26" spans="1:18">
      <c r="B26" s="102" t="s">
        <v>99</v>
      </c>
      <c r="C26" s="107">
        <f>28000/5</f>
        <v>5600</v>
      </c>
      <c r="D26" s="107">
        <f>2466+3884</f>
        <v>6350</v>
      </c>
      <c r="E26" s="191"/>
      <c r="F26" s="102" t="s">
        <v>100</v>
      </c>
      <c r="G26" s="108">
        <f>G24*2+G23*1.5+G22*1+G21*0.5</f>
        <v>39100</v>
      </c>
      <c r="H26" s="102"/>
      <c r="I26" s="191"/>
      <c r="J26" s="191"/>
      <c r="R26" s="51"/>
    </row>
    <row r="27" spans="1:18">
      <c r="B27" s="198" t="s">
        <v>98</v>
      </c>
      <c r="C27" s="199">
        <f>SUM(C21:C26)</f>
        <v>27600</v>
      </c>
      <c r="D27" s="199">
        <f>SUM(D21:D26)</f>
        <v>29606</v>
      </c>
      <c r="E27" s="191"/>
      <c r="F27" s="102" t="s">
        <v>101</v>
      </c>
      <c r="G27" s="108">
        <f>C27*2</f>
        <v>55200</v>
      </c>
      <c r="H27" s="102"/>
      <c r="I27" s="191"/>
      <c r="J27" s="191"/>
      <c r="R27" s="51"/>
    </row>
    <row r="28" spans="1:18">
      <c r="B28" s="191"/>
      <c r="C28" s="191"/>
      <c r="D28" s="191"/>
      <c r="E28" s="191"/>
      <c r="R28" s="51"/>
    </row>
    <row r="29" spans="1:18" ht="21" customHeight="1">
      <c r="A29" s="200"/>
      <c r="B29" s="98" t="s">
        <v>102</v>
      </c>
      <c r="C29" s="122"/>
      <c r="D29" s="122"/>
      <c r="E29" s="122"/>
      <c r="F29" s="122"/>
      <c r="G29" s="122"/>
      <c r="H29" s="122"/>
      <c r="I29" s="122"/>
      <c r="J29" s="122"/>
      <c r="K29" s="122"/>
      <c r="L29" s="122"/>
      <c r="M29" s="122"/>
      <c r="N29" s="122"/>
      <c r="O29" s="122"/>
      <c r="P29" s="122"/>
      <c r="Q29" s="122"/>
      <c r="R29" s="123"/>
    </row>
    <row r="30" spans="1:18" ht="9" customHeight="1">
      <c r="A30" s="71"/>
      <c r="B30" s="128"/>
      <c r="C30" s="115"/>
      <c r="D30" s="115"/>
      <c r="E30" s="115"/>
      <c r="F30" s="115"/>
      <c r="G30" s="115"/>
      <c r="H30" s="115"/>
      <c r="I30" s="115"/>
      <c r="J30" s="115"/>
      <c r="K30" s="115"/>
      <c r="L30" s="115"/>
      <c r="M30" s="115"/>
      <c r="N30" s="115"/>
      <c r="O30" s="115"/>
      <c r="P30" s="115"/>
      <c r="Q30" s="115"/>
      <c r="R30" s="125"/>
    </row>
    <row r="31" spans="1:18" ht="15.75" customHeight="1">
      <c r="A31" s="71"/>
      <c r="B31" s="128" t="s">
        <v>103</v>
      </c>
      <c r="C31" s="115"/>
      <c r="D31" s="115"/>
      <c r="E31" s="115"/>
      <c r="F31" s="115"/>
      <c r="G31" s="115"/>
      <c r="H31" s="115"/>
      <c r="I31" s="115"/>
      <c r="J31" s="115"/>
      <c r="K31" s="115"/>
      <c r="L31" s="169"/>
      <c r="M31" s="169"/>
      <c r="N31" s="115"/>
      <c r="O31" s="115"/>
      <c r="P31" s="115"/>
      <c r="Q31" s="115"/>
      <c r="R31" s="125"/>
    </row>
    <row r="32" spans="1:18">
      <c r="A32" s="53"/>
      <c r="B32" s="101" t="s">
        <v>104</v>
      </c>
      <c r="C32" s="101">
        <v>2021</v>
      </c>
      <c r="D32" s="101">
        <v>2022</v>
      </c>
      <c r="E32" s="101">
        <v>2023</v>
      </c>
      <c r="F32" s="101">
        <v>2024</v>
      </c>
      <c r="G32" s="101">
        <v>2025</v>
      </c>
      <c r="H32" s="101">
        <v>2026</v>
      </c>
      <c r="I32" s="101">
        <v>2027</v>
      </c>
      <c r="J32" s="101">
        <v>2028</v>
      </c>
      <c r="K32" s="101">
        <v>2029</v>
      </c>
      <c r="L32" s="101">
        <v>2030</v>
      </c>
      <c r="M32" s="101" t="s">
        <v>105</v>
      </c>
      <c r="R32" s="51"/>
    </row>
    <row r="33" spans="1:18">
      <c r="A33" s="53"/>
      <c r="B33" s="110" t="s">
        <v>106</v>
      </c>
      <c r="C33" s="112">
        <v>115.24299999999999</v>
      </c>
      <c r="D33" s="112">
        <v>123.258</v>
      </c>
      <c r="E33" s="112">
        <v>130.548</v>
      </c>
      <c r="F33" s="113">
        <v>134.24700000000001</v>
      </c>
      <c r="G33" s="112">
        <v>141.63900000000001</v>
      </c>
      <c r="H33" s="112">
        <v>148.495</v>
      </c>
      <c r="I33" s="112">
        <v>155.54900000000001</v>
      </c>
      <c r="J33" s="112">
        <v>162.208</v>
      </c>
      <c r="K33" s="112">
        <v>169.62700000000001</v>
      </c>
      <c r="L33" s="112">
        <v>177.68</v>
      </c>
      <c r="M33" s="111" t="s">
        <v>107</v>
      </c>
      <c r="R33" s="51"/>
    </row>
    <row r="34" spans="1:18">
      <c r="A34" s="53"/>
      <c r="B34" s="110" t="s">
        <v>108</v>
      </c>
      <c r="C34" s="112">
        <v>102.694</v>
      </c>
      <c r="D34" s="112">
        <v>109.283</v>
      </c>
      <c r="E34" s="112">
        <v>116.598</v>
      </c>
      <c r="F34" s="112">
        <v>120.224</v>
      </c>
      <c r="G34" s="112">
        <v>123.03400000000001</v>
      </c>
      <c r="H34" s="112">
        <v>125.36199999999999</v>
      </c>
      <c r="I34" s="112">
        <v>127.825</v>
      </c>
      <c r="J34" s="112">
        <v>130.572</v>
      </c>
      <c r="K34" s="112">
        <v>133.40199999999999</v>
      </c>
      <c r="L34" s="112">
        <v>136.36799999999999</v>
      </c>
      <c r="M34" s="3"/>
      <c r="R34" s="51"/>
    </row>
    <row r="35" spans="1:18" ht="12.75" customHeight="1">
      <c r="R35" s="51"/>
    </row>
    <row r="36" spans="1:18" ht="16.5" customHeight="1">
      <c r="A36" s="71"/>
      <c r="B36" s="128" t="s">
        <v>109</v>
      </c>
      <c r="C36" s="115"/>
      <c r="D36" s="115"/>
      <c r="E36" s="115"/>
      <c r="F36" s="115"/>
      <c r="G36" s="115"/>
      <c r="H36" s="115"/>
      <c r="I36" s="115"/>
      <c r="J36" s="115"/>
      <c r="K36" s="115"/>
      <c r="L36" s="115"/>
      <c r="M36" s="115"/>
      <c r="N36" s="115"/>
      <c r="O36" s="115"/>
      <c r="P36" s="115"/>
      <c r="Q36" s="115"/>
      <c r="R36" s="125"/>
    </row>
    <row r="37" spans="1:18">
      <c r="A37" s="53"/>
      <c r="B37" s="106" t="s">
        <v>104</v>
      </c>
      <c r="C37" s="106"/>
      <c r="D37" s="106">
        <v>2021</v>
      </c>
      <c r="E37" s="106" t="s">
        <v>76</v>
      </c>
      <c r="R37" s="51"/>
    </row>
    <row r="38" spans="1:18" ht="15" customHeight="1">
      <c r="A38" s="53"/>
      <c r="B38" s="201" t="s">
        <v>110</v>
      </c>
      <c r="C38" s="201" t="s">
        <v>111</v>
      </c>
      <c r="D38" s="114">
        <v>2.3599999999999999E-4</v>
      </c>
      <c r="E38" s="92" t="s">
        <v>112</v>
      </c>
      <c r="R38" s="51"/>
    </row>
    <row r="39" spans="1:18">
      <c r="R39" s="51"/>
    </row>
    <row r="40" spans="1:18">
      <c r="A40" s="55"/>
      <c r="B40" s="175" t="s">
        <v>113</v>
      </c>
      <c r="C40" s="55"/>
      <c r="D40" s="55"/>
      <c r="E40" s="55"/>
      <c r="F40" s="55"/>
      <c r="G40" s="55"/>
      <c r="H40" s="55"/>
      <c r="I40" s="55"/>
      <c r="J40" s="55"/>
      <c r="K40" s="55"/>
      <c r="L40" s="55"/>
      <c r="M40" s="55"/>
      <c r="N40" s="55"/>
      <c r="O40" s="55"/>
      <c r="P40" s="55"/>
      <c r="Q40" s="55"/>
      <c r="R40" s="56"/>
    </row>
  </sheetData>
  <mergeCells count="3">
    <mergeCell ref="E3:J3"/>
    <mergeCell ref="E4:J4"/>
    <mergeCell ref="E5:J5"/>
  </mergeCells>
  <conditionalFormatting sqref="B11:C11">
    <cfRule type="cellIs" dxfId="9" priority="1" operator="lessThan">
      <formula>0</formula>
    </cfRule>
  </conditionalFormatting>
  <hyperlinks>
    <hyperlink ref="D16" r:id="rId1" xr:uid="{83E0A127-56F3-4E95-ADBE-EE4BF79BC085}"/>
    <hyperlink ref="M33" r:id="rId2" display="Source: 2021-2030: IMF GDP deflator; 2031-2035: 3-year average inflation rate (2028-2030 - 4.6% per year) " xr:uid="{59920C59-11D0-4B83-B00B-61CC7AD5DE1F}"/>
    <hyperlink ref="E38" r:id="rId3" xr:uid="{C01E9825-7C7F-4B31-956F-12A6B99C0E88}"/>
  </hyperlinks>
  <pageMargins left="0.7" right="0.7" top="0.75" bottom="0.75" header="0.3" footer="0.3"/>
  <pageSetup paperSize="9" orientation="portrait" horizontalDpi="1200" verticalDpi="1200" r:id="rId4"/>
  <ignoredErrors>
    <ignoredError sqref="C23:C24" formula="1"/>
  </ignoredErrors>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2AE64-E7BA-4BC7-8063-056CA3FE865E}">
  <dimension ref="A1:AB83"/>
  <sheetViews>
    <sheetView showGridLines="0" tabSelected="1" topLeftCell="A20" zoomScaleNormal="100" workbookViewId="0">
      <selection activeCell="G36" sqref="G36"/>
    </sheetView>
  </sheetViews>
  <sheetFormatPr defaultColWidth="11.42578125" defaultRowHeight="14.45"/>
  <cols>
    <col min="1" max="1" width="4.42578125" customWidth="1"/>
    <col min="2" max="2" width="63.28515625" customWidth="1"/>
    <col min="3" max="4" width="20.42578125" customWidth="1"/>
    <col min="5" max="5" width="17.7109375" customWidth="1"/>
    <col min="6" max="6" width="18.42578125" customWidth="1"/>
    <col min="7" max="7" width="18.5703125" customWidth="1"/>
    <col min="8" max="8" width="18" customWidth="1"/>
    <col min="9" max="9" width="19.28515625" customWidth="1"/>
    <col min="10" max="10" width="17.85546875" customWidth="1"/>
    <col min="11" max="11" width="17.5703125" customWidth="1"/>
    <col min="12" max="12" width="19.42578125" customWidth="1"/>
    <col min="13" max="13" width="17.28515625" customWidth="1"/>
    <col min="14" max="14" width="15.7109375" customWidth="1"/>
    <col min="15" max="15" width="15.42578125" customWidth="1"/>
    <col min="16" max="16" width="16" customWidth="1"/>
  </cols>
  <sheetData>
    <row r="1" spans="1:17" s="73" customFormat="1" ht="21">
      <c r="A1" s="130"/>
      <c r="B1" s="130" t="s">
        <v>114</v>
      </c>
      <c r="C1" s="143"/>
      <c r="D1" s="144"/>
      <c r="E1" s="145"/>
      <c r="F1" s="146"/>
      <c r="G1" s="146"/>
      <c r="H1" s="146"/>
      <c r="I1" s="146"/>
      <c r="J1" s="146"/>
      <c r="K1" s="146"/>
      <c r="L1" s="146"/>
      <c r="M1" s="146"/>
      <c r="N1" s="72"/>
      <c r="O1"/>
      <c r="P1"/>
      <c r="Q1"/>
    </row>
    <row r="2" spans="1:17" ht="15.75" customHeight="1">
      <c r="B2" s="131"/>
      <c r="N2" s="51"/>
    </row>
    <row r="3" spans="1:17" s="1" customFormat="1" ht="15.6">
      <c r="A3" s="191"/>
      <c r="B3" s="134" t="s">
        <v>104</v>
      </c>
      <c r="C3" s="133">
        <v>2024</v>
      </c>
      <c r="D3" s="133">
        <v>2025</v>
      </c>
      <c r="E3" s="133">
        <v>2026</v>
      </c>
      <c r="F3" s="133">
        <v>2027</v>
      </c>
      <c r="G3" s="133">
        <v>2028</v>
      </c>
      <c r="H3" s="133">
        <v>2029</v>
      </c>
      <c r="I3" s="133">
        <v>2030</v>
      </c>
      <c r="J3" s="133">
        <v>2031</v>
      </c>
      <c r="K3" s="133">
        <v>2032</v>
      </c>
      <c r="L3" s="133">
        <v>2033</v>
      </c>
      <c r="M3" s="191"/>
      <c r="N3" s="202"/>
      <c r="O3"/>
      <c r="P3"/>
      <c r="Q3"/>
    </row>
    <row r="4" spans="1:17" s="2" customFormat="1">
      <c r="B4" s="201" t="s">
        <v>115</v>
      </c>
      <c r="C4" s="203">
        <f>'Model input'!C16*0.02</f>
        <v>135288.38</v>
      </c>
      <c r="D4" s="203">
        <f>'Model input'!C16*0.08</f>
        <v>541153.52</v>
      </c>
      <c r="E4" s="203">
        <f>'Model input'!C16*'Model input'!C17</f>
        <v>676441.9</v>
      </c>
      <c r="F4" s="203">
        <f>E4+(E4*'Sensitivity analysis'!C8)</f>
        <v>696735.15700000001</v>
      </c>
      <c r="G4" s="203">
        <f>F4+(F4*'Sensitivity analysis'!C8)</f>
        <v>717637.21171000006</v>
      </c>
      <c r="H4" s="203">
        <f>G4+(G4*'Sensitivity analysis'!C8)</f>
        <v>739166.3280613001</v>
      </c>
      <c r="I4" s="203">
        <f>H4</f>
        <v>739166.3280613001</v>
      </c>
      <c r="J4" s="203">
        <f>I4</f>
        <v>739166.3280613001</v>
      </c>
      <c r="K4" s="203">
        <f>J4</f>
        <v>739166.3280613001</v>
      </c>
      <c r="L4" s="203">
        <f>K4</f>
        <v>739166.3280613001</v>
      </c>
      <c r="M4" s="191"/>
      <c r="N4" s="202"/>
      <c r="O4"/>
      <c r="P4"/>
      <c r="Q4"/>
    </row>
    <row r="5" spans="1:17" s="2" customFormat="1">
      <c r="B5" s="201" t="s">
        <v>116</v>
      </c>
      <c r="C5" s="204">
        <f>C4/(1+'Sensitivity analysis'!C5)^(C3-2024)</f>
        <v>135288.38</v>
      </c>
      <c r="D5" s="204">
        <f>D4/(1+'Sensitivity analysis'!C5)^(D3-2024)</f>
        <v>491957.74545454542</v>
      </c>
      <c r="E5" s="204">
        <f>E4/(1+'Sensitivity analysis'!C5)^(E3-2024)</f>
        <v>559042.89256198343</v>
      </c>
      <c r="F5" s="204">
        <f>F4/(1+'Sensitivity analysis'!C5)^(F3-2024)</f>
        <v>523467.43576258438</v>
      </c>
      <c r="G5" s="204">
        <f>G4/(1+'Sensitivity analysis'!C5)^(G3-2024)</f>
        <v>490155.87166860176</v>
      </c>
      <c r="H5" s="204">
        <f>H4/(1+'Sensitivity analysis'!C5)^(H3-2024)</f>
        <v>458964.13438059983</v>
      </c>
      <c r="I5" s="204">
        <f>I4/(1+'Sensitivity analysis'!C5)^(I3-2024)</f>
        <v>417240.12216418161</v>
      </c>
      <c r="J5" s="204">
        <f>J4/(1+'Sensitivity analysis'!C5)^(J3-2024)</f>
        <v>379309.20196743775</v>
      </c>
      <c r="K5" s="204">
        <f>K4/(1+'Sensitivity analysis'!C5)^(K3-2024)</f>
        <v>344826.54724312527</v>
      </c>
      <c r="L5" s="204">
        <f>L4/(1+'Sensitivity analysis'!C5)^(L3-2024)</f>
        <v>313478.67931193206</v>
      </c>
      <c r="M5" s="191"/>
      <c r="N5" s="202"/>
      <c r="O5"/>
      <c r="P5"/>
      <c r="Q5"/>
    </row>
    <row r="6" spans="1:17" s="2" customFormat="1">
      <c r="B6" s="201" t="s">
        <v>117</v>
      </c>
      <c r="C6" s="205">
        <f>C5/('Model input'!$F$33/'Model input'!$C$33)</f>
        <v>116136.96228846826</v>
      </c>
      <c r="D6" s="205">
        <f>D5/('Model input'!$F$33/'Model input'!$C$33)</f>
        <v>422316.22650352091</v>
      </c>
      <c r="E6" s="205">
        <f>E5/('Model input'!$F$33/'Model input'!$C$33)</f>
        <v>479904.80284491007</v>
      </c>
      <c r="F6" s="205">
        <f>F5/('Model input'!$F$33/'Model input'!$C$33)</f>
        <v>449365.40630023391</v>
      </c>
      <c r="G6" s="205">
        <f>G5/('Model input'!$F$33/'Model input'!$C$33)</f>
        <v>420769.42589930992</v>
      </c>
      <c r="H6" s="205">
        <f>H5/('Model input'!$F$33/'Model input'!$C$33)</f>
        <v>393993.18970571749</v>
      </c>
      <c r="I6" s="205">
        <f>I5/('Model input'!$F$33/'Model input'!$C$33)</f>
        <v>358175.62700519769</v>
      </c>
      <c r="J6" s="205">
        <f>J5/('Model input'!$F$33/'Model input'!$C$33)</f>
        <v>325614.20636836148</v>
      </c>
      <c r="K6" s="205">
        <f>K5/('Model input'!$F$33/'Model input'!$C$33)</f>
        <v>296012.91488032864</v>
      </c>
      <c r="L6" s="205">
        <f>L5/('Model input'!$F$33/'Model input'!$C$33)</f>
        <v>269102.64989120787</v>
      </c>
      <c r="M6" s="191"/>
      <c r="N6" s="202"/>
      <c r="O6"/>
      <c r="P6"/>
      <c r="Q6"/>
    </row>
    <row r="7" spans="1:17" s="64" customFormat="1" ht="15.6">
      <c r="B7" s="69" t="s">
        <v>118</v>
      </c>
      <c r="C7" s="74">
        <f>C6*'Model input'!$D$38</f>
        <v>27.408323100078508</v>
      </c>
      <c r="D7" s="74">
        <f>D6*'Model input'!$D$38</f>
        <v>99.666629454830925</v>
      </c>
      <c r="E7" s="74">
        <f>E6*'Model input'!$D$38</f>
        <v>113.25753347139877</v>
      </c>
      <c r="F7" s="74">
        <f>F6*'Model input'!$D$38</f>
        <v>106.05023588685521</v>
      </c>
      <c r="G7" s="74">
        <f>G6*'Model input'!$D$38</f>
        <v>99.301584512237142</v>
      </c>
      <c r="H7" s="74">
        <f>H6*'Model input'!$D$38</f>
        <v>92.982392770549325</v>
      </c>
      <c r="I7" s="74">
        <f>I6*'Model input'!$D$38</f>
        <v>84.529447973226652</v>
      </c>
      <c r="J7" s="74">
        <f>J6*'Model input'!$D$38</f>
        <v>76.844952702933313</v>
      </c>
      <c r="K7" s="74">
        <f>K6*'Model input'!$D$38</f>
        <v>69.859047911757557</v>
      </c>
      <c r="L7" s="74">
        <f>L6*'Model input'!$D$38</f>
        <v>63.508225374325058</v>
      </c>
      <c r="M7" s="191"/>
      <c r="N7" s="202"/>
      <c r="O7"/>
      <c r="P7"/>
      <c r="Q7"/>
    </row>
    <row r="8" spans="1:17">
      <c r="B8" s="57"/>
      <c r="C8" s="147"/>
      <c r="D8" s="148"/>
      <c r="E8" s="147"/>
      <c r="F8" s="147"/>
      <c r="G8" s="147"/>
      <c r="N8" s="51"/>
    </row>
    <row r="9" spans="1:17" ht="19.899999999999999" customHeight="1">
      <c r="A9" s="130"/>
      <c r="B9" s="130" t="s">
        <v>119</v>
      </c>
      <c r="C9" s="149"/>
      <c r="D9" s="20"/>
      <c r="E9" s="20"/>
      <c r="F9" s="20"/>
      <c r="G9" s="20"/>
      <c r="H9" s="20"/>
      <c r="I9" s="20"/>
      <c r="J9" s="20"/>
      <c r="K9" s="20"/>
      <c r="L9" s="20"/>
      <c r="M9" s="20"/>
      <c r="N9" s="65"/>
    </row>
    <row r="10" spans="1:17" ht="18.600000000000001" customHeight="1">
      <c r="N10" s="51"/>
    </row>
    <row r="11" spans="1:17" ht="15.6">
      <c r="B11" s="134" t="s">
        <v>120</v>
      </c>
      <c r="C11" s="134" t="s">
        <v>121</v>
      </c>
      <c r="D11" s="134"/>
      <c r="E11" s="134"/>
      <c r="F11" s="134" t="s">
        <v>122</v>
      </c>
      <c r="G11" s="134"/>
      <c r="H11" s="134"/>
      <c r="I11" s="134"/>
      <c r="J11" s="134"/>
      <c r="K11" s="134"/>
      <c r="L11" s="134"/>
      <c r="M11" s="134"/>
      <c r="N11" s="134"/>
    </row>
    <row r="12" spans="1:17" ht="15.6">
      <c r="B12" s="134"/>
      <c r="C12" s="133">
        <v>2024</v>
      </c>
      <c r="D12" s="133">
        <v>2025</v>
      </c>
      <c r="E12" s="133">
        <v>2026</v>
      </c>
      <c r="F12" s="133">
        <v>2027</v>
      </c>
      <c r="G12" s="133">
        <v>2028</v>
      </c>
      <c r="H12" s="133">
        <v>2029</v>
      </c>
      <c r="I12" s="133">
        <v>2030</v>
      </c>
      <c r="J12" s="133">
        <v>2031</v>
      </c>
      <c r="K12" s="133">
        <v>2032</v>
      </c>
      <c r="L12" s="133">
        <v>2033</v>
      </c>
      <c r="M12" s="133">
        <v>2034</v>
      </c>
      <c r="N12" s="133">
        <v>2035</v>
      </c>
    </row>
    <row r="13" spans="1:17">
      <c r="B13" s="206">
        <v>1</v>
      </c>
      <c r="C13" s="207">
        <f>'Model input'!C21+'Model input'!C22</f>
        <v>6600</v>
      </c>
      <c r="D13" s="207">
        <f>'Model input'!C23+'Model input'!C24</f>
        <v>10400</v>
      </c>
      <c r="E13" s="207">
        <f>'Model input'!C25+'Model input'!C26</f>
        <v>10600</v>
      </c>
      <c r="F13" s="208">
        <v>0</v>
      </c>
      <c r="G13" s="208">
        <v>0</v>
      </c>
      <c r="H13" s="208">
        <v>0</v>
      </c>
      <c r="I13" s="208">
        <v>0</v>
      </c>
      <c r="J13" s="208">
        <v>0</v>
      </c>
      <c r="K13" s="208">
        <v>0</v>
      </c>
      <c r="L13" s="208">
        <v>0</v>
      </c>
      <c r="M13" s="208">
        <v>0</v>
      </c>
      <c r="N13" s="208">
        <v>0</v>
      </c>
    </row>
    <row r="14" spans="1:17">
      <c r="B14" s="206">
        <v>2</v>
      </c>
      <c r="C14" s="207">
        <v>0</v>
      </c>
      <c r="D14" s="207">
        <f>C13</f>
        <v>6600</v>
      </c>
      <c r="E14" s="207">
        <f t="shared" ref="E14:L14" si="0">D13</f>
        <v>10400</v>
      </c>
      <c r="F14" s="208">
        <f t="shared" si="0"/>
        <v>10600</v>
      </c>
      <c r="G14" s="208">
        <f t="shared" si="0"/>
        <v>0</v>
      </c>
      <c r="H14" s="208">
        <f t="shared" si="0"/>
        <v>0</v>
      </c>
      <c r="I14" s="208">
        <f t="shared" si="0"/>
        <v>0</v>
      </c>
      <c r="J14" s="208">
        <f t="shared" si="0"/>
        <v>0</v>
      </c>
      <c r="K14" s="208">
        <f t="shared" si="0"/>
        <v>0</v>
      </c>
      <c r="L14" s="208">
        <f t="shared" si="0"/>
        <v>0</v>
      </c>
      <c r="M14" s="208">
        <f t="shared" ref="M14:M22" si="1">L13</f>
        <v>0</v>
      </c>
      <c r="N14" s="208">
        <f t="shared" ref="N14:N21" si="2">M13</f>
        <v>0</v>
      </c>
    </row>
    <row r="15" spans="1:17">
      <c r="B15" s="206">
        <v>3</v>
      </c>
      <c r="C15" s="207">
        <v>0</v>
      </c>
      <c r="D15" s="207">
        <v>0</v>
      </c>
      <c r="E15" s="207">
        <f t="shared" ref="E15:L15" si="3">D14</f>
        <v>6600</v>
      </c>
      <c r="F15" s="208">
        <f t="shared" si="3"/>
        <v>10400</v>
      </c>
      <c r="G15" s="208">
        <f t="shared" si="3"/>
        <v>10600</v>
      </c>
      <c r="H15" s="208">
        <f t="shared" si="3"/>
        <v>0</v>
      </c>
      <c r="I15" s="208">
        <f t="shared" si="3"/>
        <v>0</v>
      </c>
      <c r="J15" s="208">
        <f t="shared" si="3"/>
        <v>0</v>
      </c>
      <c r="K15" s="208">
        <f t="shared" si="3"/>
        <v>0</v>
      </c>
      <c r="L15" s="208">
        <f t="shared" si="3"/>
        <v>0</v>
      </c>
      <c r="M15" s="208">
        <f t="shared" si="1"/>
        <v>0</v>
      </c>
      <c r="N15" s="208">
        <f t="shared" si="2"/>
        <v>0</v>
      </c>
    </row>
    <row r="16" spans="1:17">
      <c r="B16" s="206">
        <v>4</v>
      </c>
      <c r="C16" s="207">
        <v>0</v>
      </c>
      <c r="D16" s="207">
        <v>0</v>
      </c>
      <c r="E16" s="207">
        <v>0</v>
      </c>
      <c r="F16" s="208">
        <f t="shared" ref="F16:L16" si="4">E15</f>
        <v>6600</v>
      </c>
      <c r="G16" s="208">
        <f t="shared" si="4"/>
        <v>10400</v>
      </c>
      <c r="H16" s="208">
        <f t="shared" si="4"/>
        <v>10600</v>
      </c>
      <c r="I16" s="208">
        <f t="shared" si="4"/>
        <v>0</v>
      </c>
      <c r="J16" s="208">
        <f t="shared" si="4"/>
        <v>0</v>
      </c>
      <c r="K16" s="208">
        <f t="shared" si="4"/>
        <v>0</v>
      </c>
      <c r="L16" s="208">
        <f t="shared" si="4"/>
        <v>0</v>
      </c>
      <c r="M16" s="208">
        <f t="shared" si="1"/>
        <v>0</v>
      </c>
      <c r="N16" s="208">
        <f t="shared" si="2"/>
        <v>0</v>
      </c>
    </row>
    <row r="17" spans="1:28">
      <c r="B17" s="206">
        <v>5</v>
      </c>
      <c r="C17" s="207">
        <v>0</v>
      </c>
      <c r="D17" s="207">
        <v>0</v>
      </c>
      <c r="E17" s="207">
        <v>0</v>
      </c>
      <c r="F17" s="208">
        <v>0</v>
      </c>
      <c r="G17" s="208">
        <f t="shared" ref="G17:L17" si="5">F16</f>
        <v>6600</v>
      </c>
      <c r="H17" s="208">
        <f t="shared" si="5"/>
        <v>10400</v>
      </c>
      <c r="I17" s="208">
        <f t="shared" si="5"/>
        <v>10600</v>
      </c>
      <c r="J17" s="208">
        <f t="shared" si="5"/>
        <v>0</v>
      </c>
      <c r="K17" s="208">
        <f t="shared" si="5"/>
        <v>0</v>
      </c>
      <c r="L17" s="208">
        <f t="shared" si="5"/>
        <v>0</v>
      </c>
      <c r="M17" s="208">
        <f t="shared" si="1"/>
        <v>0</v>
      </c>
      <c r="N17" s="208">
        <f t="shared" si="2"/>
        <v>0</v>
      </c>
    </row>
    <row r="18" spans="1:28">
      <c r="B18" s="206">
        <v>6</v>
      </c>
      <c r="C18" s="207">
        <v>0</v>
      </c>
      <c r="D18" s="207">
        <v>0</v>
      </c>
      <c r="E18" s="207">
        <v>0</v>
      </c>
      <c r="F18" s="208">
        <v>0</v>
      </c>
      <c r="G18" s="208">
        <v>0</v>
      </c>
      <c r="H18" s="208">
        <f>G17</f>
        <v>6600</v>
      </c>
      <c r="I18" s="208">
        <f>H17</f>
        <v>10400</v>
      </c>
      <c r="J18" s="208">
        <f>I17</f>
        <v>10600</v>
      </c>
      <c r="K18" s="208">
        <f>J17</f>
        <v>0</v>
      </c>
      <c r="L18" s="208">
        <f>K17</f>
        <v>0</v>
      </c>
      <c r="M18" s="208">
        <f t="shared" si="1"/>
        <v>0</v>
      </c>
      <c r="N18" s="208">
        <f t="shared" si="2"/>
        <v>0</v>
      </c>
    </row>
    <row r="19" spans="1:28">
      <c r="B19" s="206">
        <v>7</v>
      </c>
      <c r="C19" s="207">
        <v>0</v>
      </c>
      <c r="D19" s="207">
        <v>0</v>
      </c>
      <c r="E19" s="207">
        <v>0</v>
      </c>
      <c r="F19" s="208">
        <v>0</v>
      </c>
      <c r="G19" s="208">
        <v>0</v>
      </c>
      <c r="H19" s="208">
        <v>0</v>
      </c>
      <c r="I19" s="208">
        <f>H18</f>
        <v>6600</v>
      </c>
      <c r="J19" s="208">
        <f>I18</f>
        <v>10400</v>
      </c>
      <c r="K19" s="208">
        <f>J18</f>
        <v>10600</v>
      </c>
      <c r="L19" s="208">
        <f>K18</f>
        <v>0</v>
      </c>
      <c r="M19" s="208">
        <f t="shared" si="1"/>
        <v>0</v>
      </c>
      <c r="N19" s="208">
        <f t="shared" si="2"/>
        <v>0</v>
      </c>
    </row>
    <row r="20" spans="1:28">
      <c r="B20" s="206">
        <v>8</v>
      </c>
      <c r="C20" s="207">
        <v>0</v>
      </c>
      <c r="D20" s="207">
        <v>0</v>
      </c>
      <c r="E20" s="207">
        <v>0</v>
      </c>
      <c r="F20" s="208">
        <v>0</v>
      </c>
      <c r="G20" s="208">
        <v>0</v>
      </c>
      <c r="H20" s="208">
        <v>0</v>
      </c>
      <c r="I20" s="208">
        <v>0</v>
      </c>
      <c r="J20" s="208">
        <f>I19</f>
        <v>6600</v>
      </c>
      <c r="K20" s="208">
        <f>J19</f>
        <v>10400</v>
      </c>
      <c r="L20" s="208">
        <f>K19</f>
        <v>10600</v>
      </c>
      <c r="M20" s="208">
        <f t="shared" si="1"/>
        <v>0</v>
      </c>
      <c r="N20" s="208">
        <f t="shared" si="2"/>
        <v>0</v>
      </c>
    </row>
    <row r="21" spans="1:28">
      <c r="B21" s="206">
        <v>9</v>
      </c>
      <c r="C21" s="207">
        <v>0</v>
      </c>
      <c r="D21" s="207">
        <v>0</v>
      </c>
      <c r="E21" s="207">
        <v>0</v>
      </c>
      <c r="F21" s="208">
        <v>0</v>
      </c>
      <c r="G21" s="208">
        <v>0</v>
      </c>
      <c r="H21" s="208">
        <v>0</v>
      </c>
      <c r="I21" s="208">
        <v>0</v>
      </c>
      <c r="J21" s="208">
        <v>0</v>
      </c>
      <c r="K21" s="208">
        <f>J20</f>
        <v>6600</v>
      </c>
      <c r="L21" s="208">
        <f>K20</f>
        <v>10400</v>
      </c>
      <c r="M21" s="208">
        <f t="shared" si="1"/>
        <v>10600</v>
      </c>
      <c r="N21" s="208">
        <f t="shared" si="2"/>
        <v>0</v>
      </c>
    </row>
    <row r="22" spans="1:28">
      <c r="B22" s="206">
        <v>10</v>
      </c>
      <c r="C22" s="207">
        <v>0</v>
      </c>
      <c r="D22" s="207">
        <v>0</v>
      </c>
      <c r="E22" s="207">
        <v>0</v>
      </c>
      <c r="F22" s="208">
        <v>0</v>
      </c>
      <c r="G22" s="208">
        <v>0</v>
      </c>
      <c r="H22" s="208">
        <v>0</v>
      </c>
      <c r="I22" s="208">
        <v>0</v>
      </c>
      <c r="J22" s="208">
        <v>0</v>
      </c>
      <c r="K22" s="208">
        <v>0</v>
      </c>
      <c r="L22" s="208">
        <f>K21</f>
        <v>6600</v>
      </c>
      <c r="M22" s="208">
        <f t="shared" si="1"/>
        <v>10400</v>
      </c>
      <c r="N22" s="208">
        <f>M21</f>
        <v>10600</v>
      </c>
    </row>
    <row r="23" spans="1:28">
      <c r="B23" s="209"/>
      <c r="C23" s="210"/>
      <c r="D23" s="210"/>
      <c r="E23" s="210"/>
      <c r="F23" s="210"/>
      <c r="G23" s="210"/>
      <c r="H23" s="210"/>
      <c r="I23" s="210"/>
      <c r="J23" s="210"/>
      <c r="K23" s="210"/>
      <c r="L23" s="210"/>
      <c r="N23" s="51"/>
    </row>
    <row r="24" spans="1:28" s="20" customFormat="1" ht="19.5" customHeight="1">
      <c r="B24" s="130" t="s">
        <v>123</v>
      </c>
      <c r="C24" s="163"/>
      <c r="D24" s="164"/>
      <c r="E24" s="164"/>
      <c r="F24" s="164"/>
      <c r="AB24" s="65"/>
    </row>
    <row r="25" spans="1:28">
      <c r="B25" s="55"/>
      <c r="N25" s="51"/>
    </row>
    <row r="26" spans="1:28" ht="15.6">
      <c r="B26" s="134" t="s">
        <v>104</v>
      </c>
      <c r="C26" s="133">
        <v>2024</v>
      </c>
      <c r="D26" s="133">
        <v>2025</v>
      </c>
      <c r="E26" s="133">
        <v>2026</v>
      </c>
      <c r="F26" s="133">
        <v>2027</v>
      </c>
      <c r="G26" s="133">
        <v>2028</v>
      </c>
      <c r="H26" s="133">
        <v>2029</v>
      </c>
      <c r="I26" s="133">
        <v>2030</v>
      </c>
      <c r="J26" s="133">
        <v>2031</v>
      </c>
      <c r="K26" s="133">
        <v>2032</v>
      </c>
      <c r="L26" s="133">
        <v>2033</v>
      </c>
      <c r="M26" s="133">
        <v>2034</v>
      </c>
      <c r="N26" s="133">
        <v>2035</v>
      </c>
    </row>
    <row r="27" spans="1:28">
      <c r="B27" s="201" t="s">
        <v>124</v>
      </c>
      <c r="C27" s="211">
        <f>C13*C7</f>
        <v>180894.93246051815</v>
      </c>
      <c r="D27" s="211">
        <f>D13*C7/(1+'Sensitivity analysis'!C5)^(D26-C3)+D14*D7</f>
        <v>916932.99098444462</v>
      </c>
      <c r="E27" s="211">
        <f>E13*C7/(1+'Sensitivity analysis'!C5)^2+E14*D7/(1+'Sensitivity analysis'!C5)^1+E15*E7</f>
        <v>1929908.3703526352</v>
      </c>
      <c r="F27" s="211">
        <f>F16*F7+F15*E7/(1+'Sensitivity analysis'!C5)^1+F14*D7/(1+'Sensitivity analysis'!C5)^2</f>
        <v>2643842.6767987069</v>
      </c>
      <c r="G27" s="211">
        <f>G17*G7+G16*F7/(1+'Sensitivity analysis'!C5)^1+G15*E7/(1+'Sensitivity analysis'!C5)^2</f>
        <v>2650220.6671546912</v>
      </c>
      <c r="H27" s="211">
        <f>H18*H7+H17*G7/(1+'Sensitivity analysis'!C5)^1+H16*F7/(1+'Sensitivity analysis'!C5)^2</f>
        <v>2481570.2610630291</v>
      </c>
      <c r="I27" s="211">
        <f>I19*I7+I18*H7/(1+'Sensitivity analysis'!C5)^1+I17*G7/(1+'Sensitivity analysis'!C5)^2</f>
        <v>2306915.3228421374</v>
      </c>
      <c r="J27" s="211">
        <f>J20*J7+J19*I7/(1+'Sensitivity analysis'!C5)^1+J18*H7/(1+'Sensitivity analysis'!C5)^2</f>
        <v>2120920.6946009593</v>
      </c>
      <c r="K27" s="211">
        <f>K21*K7+K20*J7/(1+'Sensitivity analysis'!C5)^1+K19*I7/(1+'Sensitivity analysis'!C5)^2</f>
        <v>1928109.7223645083</v>
      </c>
      <c r="L27" s="211">
        <f>L22*L7+L21*K7/(1+'Sensitivity analysis'!C5)^1+L20*J7/(1+'Sensitivity analysis'!C5)^2</f>
        <v>1752827.0203313713</v>
      </c>
      <c r="M27" s="211">
        <f>M22*L7/(1+'Sensitivity analysis'!C5)^1+M21*K7/(1+'Sensitivity analysis'!C5)^2</f>
        <v>1212429.7571462053</v>
      </c>
      <c r="N27" s="211">
        <f>N22*L7/(1+'Sensitivity analysis'!C5)^2</f>
        <v>556353.04873375664</v>
      </c>
    </row>
    <row r="28" spans="1:28">
      <c r="B28" s="57"/>
      <c r="N28" s="51"/>
    </row>
    <row r="29" spans="1:28" ht="21" customHeight="1">
      <c r="A29" s="130"/>
      <c r="B29" s="165" t="s">
        <v>125</v>
      </c>
      <c r="C29" s="150"/>
      <c r="D29" s="151"/>
      <c r="E29" s="152"/>
      <c r="F29" s="4"/>
      <c r="G29" s="4"/>
      <c r="H29" s="4"/>
      <c r="I29" s="4"/>
      <c r="J29" s="4"/>
      <c r="K29" s="4"/>
      <c r="L29" s="4"/>
      <c r="M29" s="4"/>
      <c r="N29" s="54"/>
    </row>
    <row r="30" spans="1:28" ht="18">
      <c r="B30" s="126"/>
      <c r="C30" s="153"/>
      <c r="D30" s="118"/>
      <c r="E30" s="119"/>
      <c r="F30" s="126"/>
      <c r="G30" s="126"/>
      <c r="H30" s="126"/>
      <c r="I30" s="126"/>
      <c r="J30" s="126"/>
      <c r="K30" s="126"/>
      <c r="L30" s="126"/>
      <c r="M30" s="126"/>
      <c r="N30" s="63"/>
    </row>
    <row r="31" spans="1:28" ht="18">
      <c r="B31" s="132"/>
      <c r="C31" s="153"/>
      <c r="D31" s="134" t="s">
        <v>126</v>
      </c>
      <c r="E31" s="134"/>
      <c r="F31" s="134"/>
      <c r="G31" s="134" t="s">
        <v>127</v>
      </c>
      <c r="H31" s="134"/>
      <c r="I31" s="134"/>
      <c r="J31" s="126"/>
      <c r="K31" s="126"/>
      <c r="L31" s="126"/>
      <c r="M31" s="126"/>
      <c r="N31" s="63"/>
    </row>
    <row r="32" spans="1:28" ht="15.75" customHeight="1">
      <c r="B32" s="248"/>
      <c r="C32" s="249"/>
      <c r="D32" s="133">
        <v>2024</v>
      </c>
      <c r="E32" s="133">
        <v>2025</v>
      </c>
      <c r="F32" s="133">
        <v>2026</v>
      </c>
      <c r="G32" s="133">
        <v>2027</v>
      </c>
      <c r="H32" s="133">
        <v>2028</v>
      </c>
      <c r="I32" s="133" t="s">
        <v>76</v>
      </c>
      <c r="J32" s="154"/>
      <c r="K32" s="154"/>
      <c r="L32" s="154"/>
      <c r="N32" s="51"/>
    </row>
    <row r="33" spans="1:14" ht="15" customHeight="1">
      <c r="B33" s="246" t="s">
        <v>128</v>
      </c>
      <c r="C33" s="247"/>
      <c r="D33" s="107">
        <f>776891-776891*'Sensitivity analysis'!C9</f>
        <v>776891</v>
      </c>
      <c r="E33" s="107">
        <f>1201082-1201082*'Sensitivity analysis'!C9</f>
        <v>1201082</v>
      </c>
      <c r="F33" s="107">
        <f>1351558-1351558*'Sensitivity analysis'!C9</f>
        <v>1351558</v>
      </c>
      <c r="G33" s="76"/>
      <c r="H33" s="77"/>
      <c r="I33" s="191" t="s">
        <v>129</v>
      </c>
      <c r="K33" s="154"/>
      <c r="L33" s="154"/>
      <c r="N33" s="51"/>
    </row>
    <row r="34" spans="1:14" ht="15" customHeight="1">
      <c r="B34" s="246" t="s">
        <v>130</v>
      </c>
      <c r="C34" s="247"/>
      <c r="D34" s="75">
        <f>D33/('Model input'!F$34/'Model input'!$F$34)</f>
        <v>776891</v>
      </c>
      <c r="E34" s="75">
        <f>E33/('Model input'!G$34/'Model input'!$F$34)</f>
        <v>1173650.2297576279</v>
      </c>
      <c r="F34" s="75">
        <f>F33/('Model input'!H$34/'Model input'!$F$34)</f>
        <v>1296163.9810468883</v>
      </c>
      <c r="G34" s="77"/>
      <c r="H34" s="77"/>
      <c r="I34" s="3"/>
      <c r="J34" s="154"/>
      <c r="K34" s="154"/>
      <c r="L34" s="154"/>
      <c r="N34" s="51"/>
    </row>
    <row r="35" spans="1:14">
      <c r="B35" s="246" t="s">
        <v>131</v>
      </c>
      <c r="C35" s="247"/>
      <c r="D35" s="75">
        <f>D34/(1+'Sensitivity analysis'!C5)^(D32-2024)</f>
        <v>776891</v>
      </c>
      <c r="E35" s="75">
        <f>E34/(1+'Sensitivity analysis'!C5)^(E32-2024)</f>
        <v>1066954.7543251163</v>
      </c>
      <c r="F35" s="75">
        <f>F34/(1+'Sensitivity analysis'!C5)^(F32-2024)</f>
        <v>1071209.9016916431</v>
      </c>
      <c r="G35" s="77"/>
      <c r="H35" s="77"/>
      <c r="I35" s="3"/>
      <c r="J35" s="154"/>
      <c r="K35" s="154"/>
      <c r="L35" s="154"/>
      <c r="N35" s="51"/>
    </row>
    <row r="36" spans="1:14">
      <c r="B36" s="246" t="s">
        <v>132</v>
      </c>
      <c r="C36" s="247"/>
      <c r="D36" s="75">
        <f>D35/('Model input'!$F$34/'Model input'!$C$34)</f>
        <v>663611.62791123241</v>
      </c>
      <c r="E36" s="75">
        <f>E35/('Model input'!$F$34/'Model input'!$C$34)</f>
        <v>911380.85191528732</v>
      </c>
      <c r="F36" s="75">
        <f>F35/('Model input'!$F$34/'Model input'!$C$34)</f>
        <v>915015.55134017835</v>
      </c>
      <c r="G36" s="212">
        <f>('Model input'!C25+'Model input'!C26+0.5*'Model input'!C24)*$C$40/(1+'Sensitivity analysis'!$C$5)^(G$32-2024)</f>
        <v>708750.83408351184</v>
      </c>
      <c r="H36" s="212">
        <f>'Model input'!C26*0.5*$C$40/(1+'Sensitivity analysis'!$C$5)^(H$32-2024)</f>
        <v>135646.09264756207</v>
      </c>
      <c r="I36" s="66"/>
      <c r="J36" s="154"/>
      <c r="K36" s="154"/>
      <c r="L36" s="154"/>
      <c r="N36" s="51"/>
    </row>
    <row r="37" spans="1:14" ht="34.5" customHeight="1">
      <c r="B37" s="135"/>
      <c r="D37" s="154"/>
      <c r="E37" s="154"/>
      <c r="F37" s="154"/>
      <c r="G37" s="154"/>
      <c r="H37" s="154"/>
      <c r="I37" s="154"/>
      <c r="J37" s="154"/>
      <c r="K37" s="154"/>
      <c r="L37" s="154"/>
      <c r="N37" s="51"/>
    </row>
    <row r="38" spans="1:14" ht="16.899999999999999" customHeight="1">
      <c r="B38" s="83" t="s">
        <v>133</v>
      </c>
      <c r="C38" s="84">
        <f>SUM(D36:F36)</f>
        <v>2490008.0311666979</v>
      </c>
      <c r="D38" s="155"/>
      <c r="E38" s="156"/>
      <c r="H38" s="154"/>
      <c r="I38" s="154"/>
      <c r="J38" s="154"/>
      <c r="K38" s="154"/>
      <c r="L38" s="154"/>
      <c r="N38" s="51"/>
    </row>
    <row r="39" spans="1:14" ht="15.6">
      <c r="B39" s="83" t="s">
        <v>134</v>
      </c>
      <c r="C39" s="84">
        <f>C38/'Model input'!G26</f>
        <v>63.683069850810689</v>
      </c>
      <c r="D39" s="213" t="s">
        <v>135</v>
      </c>
      <c r="E39" s="156"/>
      <c r="H39" s="154"/>
      <c r="I39" s="154"/>
      <c r="J39" s="154"/>
      <c r="K39" s="154"/>
      <c r="L39" s="154"/>
      <c r="N39" s="51"/>
    </row>
    <row r="40" spans="1:14" ht="15.6">
      <c r="B40" s="83" t="s">
        <v>136</v>
      </c>
      <c r="C40" s="84">
        <f>SUM(D34:F34)/('Model input'!$F$34/'Model input'!$C$34)/'Model input'!G26</f>
        <v>70.92837294474846</v>
      </c>
      <c r="D40" s="213"/>
      <c r="E40" s="156"/>
      <c r="H40" s="154"/>
      <c r="I40" s="154"/>
      <c r="J40" s="154"/>
      <c r="K40" s="154"/>
      <c r="L40" s="154"/>
      <c r="N40" s="51"/>
    </row>
    <row r="41" spans="1:14" ht="25.9">
      <c r="B41" s="136" t="s">
        <v>137</v>
      </c>
      <c r="C41" s="137">
        <f>SUM(D36:H36)</f>
        <v>3334404.9578977721</v>
      </c>
      <c r="D41" s="155"/>
      <c r="E41" s="156"/>
      <c r="H41" s="154"/>
      <c r="I41" s="154"/>
      <c r="J41" s="154"/>
      <c r="K41" s="154"/>
      <c r="L41" s="154"/>
      <c r="N41" s="51"/>
    </row>
    <row r="42" spans="1:14" ht="15.6">
      <c r="B42" s="136" t="s">
        <v>138</v>
      </c>
      <c r="C42" s="137">
        <f>C41/'Model input'!C27</f>
        <v>120.8117738368758</v>
      </c>
      <c r="D42" s="213" t="s">
        <v>139</v>
      </c>
      <c r="G42" s="157"/>
      <c r="H42" s="154"/>
      <c r="N42" s="51"/>
    </row>
    <row r="43" spans="1:14" ht="25.9">
      <c r="B43" s="138"/>
      <c r="C43" s="158"/>
      <c r="D43" s="159"/>
      <c r="G43" s="157"/>
      <c r="N43" s="51"/>
    </row>
    <row r="44" spans="1:14" ht="21" customHeight="1">
      <c r="A44" s="130"/>
      <c r="B44" s="165" t="s">
        <v>140</v>
      </c>
      <c r="C44" s="150"/>
      <c r="D44" s="151"/>
      <c r="E44" s="152"/>
      <c r="F44" s="4"/>
      <c r="G44" s="4"/>
      <c r="H44" s="4"/>
      <c r="I44" s="4"/>
      <c r="J44" s="4"/>
      <c r="K44" s="4"/>
      <c r="L44" s="4"/>
      <c r="M44" s="4"/>
      <c r="N44" s="54"/>
    </row>
    <row r="45" spans="1:14" ht="14.85" customHeight="1">
      <c r="B45" s="55"/>
      <c r="F45" s="160"/>
      <c r="N45" s="51"/>
    </row>
    <row r="46" spans="1:14" ht="15.6">
      <c r="B46" s="136" t="s">
        <v>54</v>
      </c>
      <c r="C46" s="139">
        <f>SUM(C27:N27)</f>
        <v>20680925.464832965</v>
      </c>
      <c r="D46" s="148"/>
      <c r="N46" s="51"/>
    </row>
    <row r="47" spans="1:14" ht="15.6">
      <c r="B47" s="136" t="s">
        <v>141</v>
      </c>
      <c r="C47" s="139">
        <f>C46-C41</f>
        <v>17346520.506935194</v>
      </c>
      <c r="N47" s="51"/>
    </row>
    <row r="48" spans="1:14" ht="15.6">
      <c r="B48" s="136" t="s">
        <v>142</v>
      </c>
      <c r="C48" s="139">
        <f>C46/'Model input'!C27</f>
        <v>749.30889365336827</v>
      </c>
      <c r="N48" s="51"/>
    </row>
    <row r="49" spans="1:14" ht="15.6">
      <c r="B49" s="136" t="s">
        <v>143</v>
      </c>
      <c r="C49" s="139">
        <f>C48-C42</f>
        <v>628.4971198164925</v>
      </c>
      <c r="N49" s="51"/>
    </row>
    <row r="50" spans="1:14" ht="18" customHeight="1">
      <c r="B50" s="136" t="s">
        <v>144</v>
      </c>
      <c r="C50" s="140">
        <f>AVERAGE(C4:L4)/'Model input'!C16</f>
        <v>9.5545350000000029E-2</v>
      </c>
      <c r="N50" s="51"/>
    </row>
    <row r="51" spans="1:14">
      <c r="B51" s="57"/>
      <c r="F51" s="160"/>
      <c r="N51" s="51"/>
    </row>
    <row r="52" spans="1:14" ht="19.899999999999999" customHeight="1">
      <c r="A52" s="130"/>
      <c r="B52" s="130" t="s">
        <v>145</v>
      </c>
      <c r="C52" s="150"/>
      <c r="D52" s="151"/>
      <c r="E52" s="152"/>
      <c r="F52" s="4"/>
      <c r="G52" s="4"/>
      <c r="H52" s="4"/>
      <c r="I52" s="4"/>
      <c r="J52" s="4"/>
      <c r="K52" s="4"/>
      <c r="L52" s="4"/>
      <c r="M52" s="4"/>
      <c r="N52" s="54"/>
    </row>
    <row r="53" spans="1:14">
      <c r="B53" s="55"/>
      <c r="N53" s="51"/>
    </row>
    <row r="54" spans="1:14" ht="30" customHeight="1">
      <c r="B54" s="141" t="s">
        <v>22</v>
      </c>
      <c r="C54" s="142">
        <f>C46/C41</f>
        <v>6.2022836835846054</v>
      </c>
      <c r="D54" s="191" t="s">
        <v>146</v>
      </c>
      <c r="E54" s="161"/>
      <c r="N54" s="51"/>
    </row>
    <row r="55" spans="1:14">
      <c r="A55" s="55"/>
      <c r="B55" s="135"/>
      <c r="C55" s="55"/>
      <c r="D55" s="55"/>
      <c r="E55" s="55"/>
      <c r="F55" s="55"/>
      <c r="G55" s="55"/>
      <c r="H55" s="55"/>
      <c r="I55" s="214"/>
      <c r="J55" s="214"/>
      <c r="K55" s="214"/>
      <c r="L55" s="55"/>
      <c r="M55" s="214"/>
      <c r="N55" s="215"/>
    </row>
    <row r="61" spans="1:14" ht="15" customHeight="1"/>
    <row r="74" spans="3:10">
      <c r="D74" s="216"/>
      <c r="E74" s="2"/>
    </row>
    <row r="75" spans="3:10">
      <c r="C75" s="191"/>
      <c r="D75" s="216"/>
      <c r="E75" s="210"/>
      <c r="F75" s="210"/>
      <c r="G75" s="210"/>
      <c r="H75" s="210"/>
      <c r="I75" s="210"/>
      <c r="J75" s="210"/>
    </row>
    <row r="76" spans="3:10">
      <c r="C76" s="52"/>
      <c r="D76" s="217"/>
    </row>
    <row r="77" spans="3:10">
      <c r="C77" s="52"/>
      <c r="D77" s="217"/>
    </row>
    <row r="78" spans="3:10">
      <c r="C78" s="191"/>
      <c r="D78" s="217"/>
    </row>
    <row r="79" spans="3:10">
      <c r="C79" s="191"/>
      <c r="D79" s="217"/>
    </row>
    <row r="80" spans="3:10">
      <c r="C80" s="191"/>
      <c r="D80" s="217"/>
    </row>
    <row r="81" spans="3:4">
      <c r="C81" s="191"/>
      <c r="D81" s="217"/>
    </row>
    <row r="82" spans="3:4">
      <c r="C82" s="191"/>
      <c r="D82" s="217"/>
    </row>
    <row r="83" spans="3:4">
      <c r="C83" s="191"/>
      <c r="D83" s="217"/>
    </row>
  </sheetData>
  <sortState xmlns:xlrd2="http://schemas.microsoft.com/office/spreadsheetml/2017/richdata2" ref="P32">
    <sortCondition ref="P32"/>
  </sortState>
  <mergeCells count="5">
    <mergeCell ref="B36:C36"/>
    <mergeCell ref="B33:C33"/>
    <mergeCell ref="B32:C32"/>
    <mergeCell ref="B34:C34"/>
    <mergeCell ref="B35:C35"/>
  </mergeCells>
  <phoneticPr fontId="26" type="noConversion"/>
  <conditionalFormatting sqref="B3:L3">
    <cfRule type="cellIs" dxfId="8" priority="4" operator="lessThan">
      <formula>0</formula>
    </cfRule>
  </conditionalFormatting>
  <conditionalFormatting sqref="B11:N12">
    <cfRule type="cellIs" dxfId="7" priority="3" operator="lessThan">
      <formula>0</formula>
    </cfRule>
  </conditionalFormatting>
  <conditionalFormatting sqref="B26:N26">
    <cfRule type="cellIs" dxfId="6" priority="2" operator="lessThan">
      <formula>0</formula>
    </cfRule>
  </conditionalFormatting>
  <conditionalFormatting sqref="D54">
    <cfRule type="cellIs" dxfId="5" priority="5" operator="lessThan">
      <formula>0</formula>
    </cfRule>
  </conditionalFormatting>
  <conditionalFormatting sqref="D33:F36">
    <cfRule type="cellIs" dxfId="4" priority="12" operator="lessThan">
      <formula>0</formula>
    </cfRule>
  </conditionalFormatting>
  <conditionalFormatting sqref="D31:I32">
    <cfRule type="cellIs" dxfId="3" priority="1" operator="lessThan">
      <formula>0</formula>
    </cfRule>
  </conditionalFormatting>
  <conditionalFormatting sqref="E36:F36 I36">
    <cfRule type="cellIs" dxfId="2" priority="9" operator="lessThan">
      <formula>0</formula>
    </cfRule>
  </conditionalFormatting>
  <conditionalFormatting sqref="I55:K55 M55">
    <cfRule type="cellIs" dxfId="1" priority="55" operator="lessThan">
      <formula>0</formula>
    </cfRule>
  </conditionalFormatting>
  <pageMargins left="0.7" right="0.7" top="0.78740157499999996" bottom="0.78740157499999996"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26834-1FF6-4B22-918B-EAC794C07249}">
  <dimension ref="A1:AQ63"/>
  <sheetViews>
    <sheetView showGridLines="0" topLeftCell="A9" zoomScaleNormal="100" workbookViewId="0">
      <selection activeCell="C6" sqref="C6"/>
    </sheetView>
  </sheetViews>
  <sheetFormatPr defaultColWidth="8.85546875" defaultRowHeight="14.45" outlineLevelRow="7" outlineLevelCol="7"/>
  <cols>
    <col min="1" max="1" width="6.140625" customWidth="1" collapsed="1"/>
    <col min="2" max="2" width="40.5703125" customWidth="1"/>
    <col min="3" max="4" width="13.85546875" customWidth="1"/>
    <col min="5" max="5" width="26.85546875" customWidth="1"/>
    <col min="6" max="8" width="13.85546875" customWidth="1"/>
    <col min="9" max="9" width="13.7109375" customWidth="1"/>
    <col min="10" max="10" width="13.28515625" customWidth="1" collapsed="1"/>
    <col min="11" max="11" width="18.28515625" customWidth="1" collapsed="1"/>
    <col min="12" max="12" width="8.28515625" customWidth="1" collapsed="1"/>
    <col min="13" max="13" width="37.140625" customWidth="1" collapsed="1"/>
    <col min="14" max="14" width="11.140625" customWidth="1" collapsed="1"/>
    <col min="15" max="15" width="4" customWidth="1" collapsed="1"/>
    <col min="16" max="16" width="9.140625" customWidth="1"/>
    <col min="17" max="19" width="8.85546875" hidden="1" customWidth="1" outlineLevel="7" collapsed="1"/>
    <col min="20" max="21" width="8.85546875" hidden="1" customWidth="1" outlineLevel="7"/>
    <col min="22" max="22" width="8.85546875" hidden="1" customWidth="1" outlineLevel="7" collapsed="1"/>
    <col min="23" max="27" width="8.85546875" hidden="1" customWidth="1" outlineLevel="7"/>
    <col min="28" max="43" width="0" hidden="1" customWidth="1" outlineLevel="7"/>
    <col min="44" max="45" width="0" hidden="1" customWidth="1" outlineLevel="7" collapsed="1"/>
    <col min="46" max="16384" width="8.85546875" outlineLevel="7" collapsed="1"/>
  </cols>
  <sheetData>
    <row r="1" spans="1:11" ht="18">
      <c r="A1" s="218"/>
      <c r="B1" s="130" t="s">
        <v>147</v>
      </c>
      <c r="C1" s="79"/>
      <c r="D1" s="79"/>
      <c r="E1" s="79"/>
      <c r="F1" s="79"/>
      <c r="G1" s="79"/>
      <c r="H1" s="79"/>
      <c r="I1" s="79"/>
      <c r="J1" s="79"/>
      <c r="K1" s="82"/>
    </row>
    <row r="2" spans="1:11">
      <c r="B2" s="162" t="s">
        <v>148</v>
      </c>
      <c r="K2" s="51"/>
    </row>
    <row r="3" spans="1:11">
      <c r="B3" s="55"/>
      <c r="K3" s="51"/>
    </row>
    <row r="4" spans="1:11">
      <c r="B4" s="78" t="s">
        <v>149</v>
      </c>
      <c r="C4" s="78" t="s">
        <v>73</v>
      </c>
      <c r="D4" s="78" t="s">
        <v>150</v>
      </c>
      <c r="E4" s="78" t="s">
        <v>151</v>
      </c>
      <c r="K4" s="51"/>
    </row>
    <row r="5" spans="1:11">
      <c r="B5" s="201" t="s">
        <v>152</v>
      </c>
      <c r="C5" s="166">
        <v>0.1</v>
      </c>
      <c r="D5" s="219">
        <v>0.1</v>
      </c>
      <c r="E5" s="201" t="s">
        <v>153</v>
      </c>
      <c r="K5" s="51"/>
    </row>
    <row r="6" spans="1:11">
      <c r="B6" s="201" t="s">
        <v>154</v>
      </c>
      <c r="C6" s="107">
        <v>6764419</v>
      </c>
      <c r="D6" s="220">
        <v>6764419</v>
      </c>
      <c r="E6" s="201" t="s">
        <v>153</v>
      </c>
      <c r="K6" s="51"/>
    </row>
    <row r="7" spans="1:11">
      <c r="B7" s="201" t="s">
        <v>155</v>
      </c>
      <c r="C7" s="166">
        <v>0.1</v>
      </c>
      <c r="D7" s="219">
        <v>0.1</v>
      </c>
      <c r="E7" s="201" t="s">
        <v>153</v>
      </c>
      <c r="K7" s="51"/>
    </row>
    <row r="8" spans="1:11">
      <c r="B8" s="201" t="s">
        <v>156</v>
      </c>
      <c r="C8" s="166">
        <v>0.03</v>
      </c>
      <c r="D8" s="221" t="s">
        <v>157</v>
      </c>
      <c r="E8" s="201" t="s">
        <v>153</v>
      </c>
      <c r="K8" s="51"/>
    </row>
    <row r="9" spans="1:11">
      <c r="B9" s="201" t="s">
        <v>158</v>
      </c>
      <c r="C9" s="166">
        <v>0</v>
      </c>
      <c r="D9" s="219">
        <v>0</v>
      </c>
      <c r="E9" s="201" t="s">
        <v>153</v>
      </c>
      <c r="K9" s="51"/>
    </row>
    <row r="10" spans="1:11">
      <c r="B10" s="55"/>
      <c r="K10" s="51"/>
    </row>
    <row r="11" spans="1:11">
      <c r="B11" s="167" t="s">
        <v>159</v>
      </c>
      <c r="C11" s="168">
        <f>SROI!C54</f>
        <v>6.2022836835846054</v>
      </c>
      <c r="K11" s="51"/>
    </row>
    <row r="12" spans="1:11">
      <c r="B12" s="57"/>
      <c r="K12" s="51"/>
    </row>
    <row r="13" spans="1:11">
      <c r="B13" s="222" t="s">
        <v>152</v>
      </c>
      <c r="C13" s="191" t="s">
        <v>22</v>
      </c>
      <c r="E13" t="s">
        <v>160</v>
      </c>
      <c r="F13" t="s">
        <v>22</v>
      </c>
      <c r="K13" s="51"/>
    </row>
    <row r="14" spans="1:11">
      <c r="B14" s="223">
        <v>0.15</v>
      </c>
      <c r="C14" s="191">
        <v>5.2</v>
      </c>
      <c r="D14" s="2"/>
      <c r="E14" s="80">
        <v>0.1</v>
      </c>
      <c r="F14">
        <v>6.9</v>
      </c>
      <c r="K14" s="51"/>
    </row>
    <row r="15" spans="1:11">
      <c r="B15" s="224">
        <f>D5</f>
        <v>0.1</v>
      </c>
      <c r="C15" s="191">
        <v>6.2</v>
      </c>
      <c r="E15" s="80">
        <v>0.09</v>
      </c>
      <c r="F15">
        <v>6.8</v>
      </c>
      <c r="K15" s="51"/>
    </row>
    <row r="16" spans="1:11">
      <c r="B16" s="223">
        <v>0.05</v>
      </c>
      <c r="C16" s="191">
        <v>7.5</v>
      </c>
      <c r="E16" s="80">
        <v>0</v>
      </c>
      <c r="F16">
        <v>6.2</v>
      </c>
      <c r="K16" s="51"/>
    </row>
    <row r="17" spans="2:11">
      <c r="B17" s="223">
        <v>0</v>
      </c>
      <c r="C17" s="191">
        <v>9.1999999999999993</v>
      </c>
      <c r="K17" s="51"/>
    </row>
    <row r="18" spans="2:11">
      <c r="B18" s="53"/>
      <c r="K18" s="51"/>
    </row>
    <row r="19" spans="2:11">
      <c r="B19" s="53"/>
      <c r="K19" s="51"/>
    </row>
    <row r="20" spans="2:11">
      <c r="K20" s="51"/>
    </row>
    <row r="21" spans="2:11">
      <c r="K21" s="51"/>
    </row>
    <row r="22" spans="2:11" ht="11.45" customHeight="1">
      <c r="K22" s="51"/>
    </row>
    <row r="23" spans="2:11">
      <c r="K23" s="51"/>
    </row>
    <row r="24" spans="2:11">
      <c r="K24" s="51"/>
    </row>
    <row r="25" spans="2:11">
      <c r="B25" s="191" t="s">
        <v>161</v>
      </c>
      <c r="K25" s="51"/>
    </row>
    <row r="26" spans="2:11">
      <c r="B26" s="191" t="s">
        <v>162</v>
      </c>
      <c r="K26" s="51"/>
    </row>
    <row r="27" spans="2:11">
      <c r="K27" s="51"/>
    </row>
    <row r="28" spans="2:11">
      <c r="K28" s="51"/>
    </row>
    <row r="29" spans="2:11" ht="14.45" customHeight="1">
      <c r="B29" s="267" t="s">
        <v>163</v>
      </c>
      <c r="C29" s="267"/>
      <c r="F29" s="264" t="s">
        <v>164</v>
      </c>
      <c r="G29" s="264"/>
      <c r="H29" s="264"/>
      <c r="I29" s="264"/>
      <c r="J29" s="264"/>
      <c r="K29" s="265"/>
    </row>
    <row r="30" spans="2:11">
      <c r="B30" s="267"/>
      <c r="C30" s="267"/>
      <c r="E30" s="81">
        <f>C11</f>
        <v>6.2022836835846054</v>
      </c>
      <c r="F30" s="225">
        <v>675000</v>
      </c>
      <c r="G30" s="225">
        <v>2000000</v>
      </c>
      <c r="H30" s="225">
        <v>3058000</v>
      </c>
      <c r="I30" s="225">
        <v>6000000</v>
      </c>
      <c r="J30" s="226">
        <v>6764419</v>
      </c>
      <c r="K30" s="227">
        <v>9000000</v>
      </c>
    </row>
    <row r="31" spans="2:11">
      <c r="B31" s="267"/>
      <c r="C31" s="267"/>
      <c r="D31" s="260" t="s">
        <v>165</v>
      </c>
      <c r="E31" s="89">
        <v>0.05</v>
      </c>
      <c r="F31" s="228">
        <f t="dataTable" ref="F31:K38" dt2D="1" dtr="1" r1="C6" r2="C7" ca="1"/>
        <v>0.35663739025487523</v>
      </c>
      <c r="G31" s="228">
        <v>1.0567033785329638</v>
      </c>
      <c r="H31" s="228">
        <v>1.615699465776901</v>
      </c>
      <c r="I31" s="228">
        <v>3.1701101355988905</v>
      </c>
      <c r="J31" s="228">
        <v>3.5739922055562863</v>
      </c>
      <c r="K31" s="229">
        <v>4.7551652033983371</v>
      </c>
    </row>
    <row r="32" spans="2:11" ht="14.45" customHeight="1">
      <c r="B32" s="267"/>
      <c r="C32" s="267"/>
      <c r="D32" s="260"/>
      <c r="E32" s="230">
        <v>0.1</v>
      </c>
      <c r="F32" s="228">
        <v>0.61890629282716048</v>
      </c>
      <c r="G32" s="228">
        <v>1.8337964231915866</v>
      </c>
      <c r="H32" s="228">
        <v>2.8038747310599348</v>
      </c>
      <c r="I32" s="228">
        <v>5.5013892695747586</v>
      </c>
      <c r="J32" s="231">
        <v>6.2022836835846054</v>
      </c>
      <c r="K32" s="229">
        <v>8.2520839043621397</v>
      </c>
    </row>
    <row r="33" spans="2:11">
      <c r="B33" s="267"/>
      <c r="C33" s="267"/>
      <c r="D33" s="260"/>
      <c r="E33" s="232">
        <v>0.15</v>
      </c>
      <c r="F33" s="228">
        <v>0.88117519539944567</v>
      </c>
      <c r="G33" s="228">
        <v>2.6108894678502086</v>
      </c>
      <c r="H33" s="228">
        <v>3.9920499963429701</v>
      </c>
      <c r="I33" s="228">
        <v>7.8326684035506302</v>
      </c>
      <c r="J33" s="228">
        <v>8.8305751616129218</v>
      </c>
      <c r="K33" s="229">
        <v>11.749002605325941</v>
      </c>
    </row>
    <row r="34" spans="2:11">
      <c r="B34" s="267"/>
      <c r="C34" s="267"/>
      <c r="D34" s="260"/>
      <c r="E34" s="232">
        <v>0.2</v>
      </c>
      <c r="F34" s="228">
        <v>1.1434440979717309</v>
      </c>
      <c r="G34" s="228">
        <v>3.3879825125088319</v>
      </c>
      <c r="H34" s="228">
        <v>5.1802252616260036</v>
      </c>
      <c r="I34" s="228">
        <v>10.163947537526495</v>
      </c>
      <c r="J34" s="228">
        <v>11.458866639641244</v>
      </c>
      <c r="K34" s="229">
        <v>15.245921306289748</v>
      </c>
    </row>
    <row r="35" spans="2:11">
      <c r="B35" s="267"/>
      <c r="C35" s="267"/>
      <c r="D35" s="260"/>
      <c r="E35" s="232">
        <v>0.25</v>
      </c>
      <c r="F35" s="228">
        <v>1.4057130005440159</v>
      </c>
      <c r="G35" s="228">
        <v>4.1650755571674551</v>
      </c>
      <c r="H35" s="228">
        <v>6.3684005269090393</v>
      </c>
      <c r="I35" s="228">
        <v>12.495226671502362</v>
      </c>
      <c r="J35" s="228">
        <v>14.087158117669558</v>
      </c>
      <c r="K35" s="229">
        <v>18.742840007253545</v>
      </c>
    </row>
    <row r="36" spans="2:11">
      <c r="B36" s="267"/>
      <c r="C36" s="267"/>
      <c r="D36" s="260"/>
      <c r="E36" s="232">
        <v>0.3</v>
      </c>
      <c r="F36" s="228">
        <v>1.6679819031163015</v>
      </c>
      <c r="G36" s="228">
        <v>4.9421686018260766</v>
      </c>
      <c r="H36" s="228">
        <v>7.5565757921920733</v>
      </c>
      <c r="I36" s="228">
        <v>14.826505805478236</v>
      </c>
      <c r="J36" s="228">
        <v>16.715449595697873</v>
      </c>
      <c r="K36" s="229">
        <v>22.239758708217348</v>
      </c>
    </row>
    <row r="37" spans="2:11">
      <c r="B37" s="267"/>
      <c r="C37" s="267"/>
      <c r="D37" s="260"/>
      <c r="E37" s="232">
        <v>0.5</v>
      </c>
      <c r="F37" s="228">
        <v>2.7170575134054418</v>
      </c>
      <c r="G37" s="228">
        <v>8.0505407804605689</v>
      </c>
      <c r="H37" s="228">
        <v>12.309276853324212</v>
      </c>
      <c r="I37" s="228">
        <v>24.151622341381703</v>
      </c>
      <c r="J37" s="228">
        <v>27.228615507811149</v>
      </c>
      <c r="K37" s="229">
        <v>36.227433512072558</v>
      </c>
    </row>
    <row r="38" spans="2:11" ht="15.75" customHeight="1">
      <c r="B38" s="267"/>
      <c r="C38" s="267"/>
      <c r="D38" s="260"/>
      <c r="E38" s="232">
        <v>1</v>
      </c>
      <c r="F38" s="228">
        <v>5.3397465391282939</v>
      </c>
      <c r="G38" s="228">
        <v>15.821471227046798</v>
      </c>
      <c r="H38" s="228">
        <v>24.191029506154557</v>
      </c>
      <c r="I38" s="228">
        <v>47.464413681140392</v>
      </c>
      <c r="J38" s="228">
        <v>53.511530288094335</v>
      </c>
      <c r="K38" s="229">
        <v>71.196620521710585</v>
      </c>
    </row>
    <row r="39" spans="2:11">
      <c r="B39" s="267"/>
      <c r="C39" s="267"/>
      <c r="K39" s="51"/>
    </row>
    <row r="40" spans="2:11">
      <c r="B40" s="267"/>
      <c r="C40" s="267"/>
      <c r="K40" s="51"/>
    </row>
    <row r="41" spans="2:11">
      <c r="K41" s="51"/>
    </row>
    <row r="42" spans="2:11" ht="17.45" customHeight="1">
      <c r="B42" s="266" t="s">
        <v>166</v>
      </c>
      <c r="C42" s="266"/>
      <c r="E42" s="261" t="s">
        <v>156</v>
      </c>
      <c r="F42" s="233" t="s">
        <v>22</v>
      </c>
      <c r="K42" s="51"/>
    </row>
    <row r="43" spans="2:11">
      <c r="B43" s="266"/>
      <c r="C43" s="266"/>
      <c r="E43" s="262"/>
      <c r="F43" s="171">
        <f>C11</f>
        <v>6.2022836835846054</v>
      </c>
      <c r="K43" s="51"/>
    </row>
    <row r="44" spans="2:11">
      <c r="B44" s="266"/>
      <c r="C44" s="266"/>
      <c r="E44" s="234">
        <v>-0.15</v>
      </c>
      <c r="F44" s="228">
        <f t="dataTable" ref="F44:F50" dt2D="0" dtr="0" r1="C8"/>
        <v>4.5648313646961016</v>
      </c>
      <c r="K44" s="51"/>
    </row>
    <row r="45" spans="2:11">
      <c r="B45" s="266"/>
      <c r="C45" s="266"/>
      <c r="E45" s="235">
        <v>-0.1</v>
      </c>
      <c r="F45" s="228">
        <v>4.9674355268374288</v>
      </c>
      <c r="K45" s="51"/>
    </row>
    <row r="46" spans="2:11">
      <c r="B46" s="266"/>
      <c r="C46" s="266"/>
      <c r="E46" s="235">
        <v>-0.05</v>
      </c>
      <c r="F46" s="228">
        <v>5.4091709083295587</v>
      </c>
      <c r="K46" s="51"/>
    </row>
    <row r="47" spans="2:11">
      <c r="B47" s="266"/>
      <c r="C47" s="266"/>
      <c r="E47" s="235">
        <v>-0.03</v>
      </c>
      <c r="F47" s="228">
        <v>5.5972654254257357</v>
      </c>
      <c r="K47" s="51"/>
    </row>
    <row r="48" spans="2:11">
      <c r="B48" s="266"/>
      <c r="C48" s="266"/>
      <c r="E48" s="235">
        <v>0</v>
      </c>
      <c r="F48" s="228">
        <v>5.8920179693559716</v>
      </c>
      <c r="K48" s="51"/>
    </row>
    <row r="49" spans="2:12">
      <c r="B49" s="266"/>
      <c r="C49" s="266"/>
      <c r="E49" s="236">
        <v>0.03</v>
      </c>
      <c r="F49" s="231">
        <v>6.2022836835846054</v>
      </c>
      <c r="K49" s="51"/>
      <c r="L49" s="53"/>
    </row>
    <row r="50" spans="2:12">
      <c r="B50" s="266"/>
      <c r="C50" s="266"/>
      <c r="E50" s="235">
        <v>0.1</v>
      </c>
      <c r="F50" s="228">
        <v>6.9889689707455824</v>
      </c>
      <c r="K50" s="51"/>
      <c r="L50" s="53"/>
    </row>
    <row r="54" spans="2:12" ht="29.45" customHeight="1">
      <c r="B54" s="263" t="s">
        <v>167</v>
      </c>
      <c r="C54" s="263"/>
      <c r="E54" s="237" t="s">
        <v>168</v>
      </c>
      <c r="F54" s="233" t="s">
        <v>22</v>
      </c>
    </row>
    <row r="55" spans="2:12">
      <c r="B55" s="263"/>
      <c r="C55" s="263"/>
      <c r="D55" s="260"/>
      <c r="E55" s="170">
        <v>27600</v>
      </c>
      <c r="F55" s="174">
        <v>6.2</v>
      </c>
      <c r="G55" s="210"/>
      <c r="I55" s="210"/>
    </row>
    <row r="56" spans="2:12" ht="60.6" customHeight="1">
      <c r="B56" s="263"/>
      <c r="C56" s="263"/>
      <c r="D56" s="260"/>
      <c r="E56" s="172">
        <v>29606</v>
      </c>
      <c r="F56" s="173">
        <v>6.7</v>
      </c>
      <c r="G56" s="238"/>
      <c r="I56" s="238"/>
    </row>
    <row r="57" spans="2:12">
      <c r="D57" s="260"/>
      <c r="F57" s="238"/>
      <c r="G57" s="238"/>
      <c r="I57" s="238"/>
    </row>
    <row r="58" spans="2:12">
      <c r="D58" s="260"/>
      <c r="E58" s="217"/>
      <c r="F58" s="238"/>
      <c r="G58" s="238"/>
      <c r="H58" s="238"/>
      <c r="I58" s="238"/>
    </row>
    <row r="59" spans="2:12">
      <c r="D59" s="260"/>
      <c r="E59" s="217"/>
      <c r="F59" s="238"/>
      <c r="G59" s="238"/>
      <c r="H59" s="238"/>
      <c r="I59" s="238"/>
    </row>
    <row r="60" spans="2:12">
      <c r="D60" s="260"/>
      <c r="E60" s="217"/>
      <c r="F60" s="238"/>
      <c r="G60" s="238"/>
      <c r="H60" s="238"/>
      <c r="I60" s="238"/>
    </row>
    <row r="61" spans="2:12">
      <c r="D61" s="260"/>
      <c r="E61" s="217"/>
      <c r="F61" s="238"/>
      <c r="G61" s="238"/>
      <c r="H61" s="238"/>
      <c r="I61" s="238"/>
    </row>
    <row r="62" spans="2:12">
      <c r="D62" s="260"/>
      <c r="E62" s="217"/>
      <c r="F62" s="238"/>
      <c r="G62" s="238"/>
      <c r="H62" s="238"/>
      <c r="I62" s="238"/>
    </row>
    <row r="63" spans="2:12">
      <c r="E63" s="217"/>
      <c r="F63" s="238"/>
      <c r="G63" s="238"/>
      <c r="H63" s="238"/>
      <c r="I63" s="238"/>
    </row>
  </sheetData>
  <mergeCells count="7">
    <mergeCell ref="D55:D62"/>
    <mergeCell ref="E42:E43"/>
    <mergeCell ref="B54:C56"/>
    <mergeCell ref="F29:K29"/>
    <mergeCell ref="B42:C50"/>
    <mergeCell ref="B29:C40"/>
    <mergeCell ref="D31:D38"/>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54663-C52C-481D-BDBA-9804EDB4C6C9}">
  <dimension ref="A1"/>
  <sheetViews>
    <sheetView showGridLines="0" zoomScale="110" zoomScaleNormal="110" workbookViewId="0">
      <selection activeCell="S51" sqref="S51"/>
    </sheetView>
  </sheetViews>
  <sheetFormatPr defaultColWidth="8.5703125" defaultRowHeight="14.4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7A70A-8342-4FFD-AE9A-180ACCAEBB79}">
  <dimension ref="B1:E10"/>
  <sheetViews>
    <sheetView showGridLines="0" zoomScale="80" workbookViewId="0">
      <selection activeCell="I18" sqref="I18"/>
    </sheetView>
  </sheetViews>
  <sheetFormatPr defaultColWidth="8.5703125" defaultRowHeight="14.45"/>
  <cols>
    <col min="1" max="1" width="4.42578125" customWidth="1"/>
    <col min="2" max="2" width="36.42578125" customWidth="1"/>
    <col min="3" max="3" width="11.42578125" bestFit="1" customWidth="1"/>
    <col min="4" max="4" width="20" customWidth="1"/>
    <col min="5" max="5" width="75.42578125" customWidth="1"/>
  </cols>
  <sheetData>
    <row r="1" spans="2:5" ht="18">
      <c r="B1" s="130" t="s">
        <v>169</v>
      </c>
      <c r="C1" s="20"/>
      <c r="D1" s="20"/>
      <c r="E1" s="20"/>
    </row>
    <row r="3" spans="2:5">
      <c r="B3" s="70" t="s">
        <v>170</v>
      </c>
      <c r="C3" s="70" t="s">
        <v>73</v>
      </c>
      <c r="D3" s="70" t="s">
        <v>76</v>
      </c>
      <c r="E3" s="70" t="s">
        <v>77</v>
      </c>
    </row>
    <row r="4" spans="2:5">
      <c r="B4" s="239" t="s">
        <v>171</v>
      </c>
      <c r="C4" s="240">
        <f>2.5*0.4046856422</f>
        <v>1.0117141054999998</v>
      </c>
      <c r="D4" s="92" t="s">
        <v>172</v>
      </c>
      <c r="E4" s="3"/>
    </row>
    <row r="5" spans="2:5">
      <c r="B5" s="239" t="s">
        <v>173</v>
      </c>
      <c r="C5" s="240">
        <f>0.8*0.4046856422</f>
        <v>0.32374851376000002</v>
      </c>
      <c r="D5" s="92" t="s">
        <v>172</v>
      </c>
      <c r="E5" s="3"/>
    </row>
    <row r="6" spans="2:5" ht="28.9">
      <c r="B6" s="239" t="s">
        <v>174</v>
      </c>
      <c r="C6" s="241">
        <f>299*2.471</f>
        <v>738.82900000000006</v>
      </c>
      <c r="D6" s="92" t="s">
        <v>175</v>
      </c>
      <c r="E6" s="239" t="s">
        <v>176</v>
      </c>
    </row>
    <row r="7" spans="2:5" ht="28.9">
      <c r="B7" s="239" t="s">
        <v>177</v>
      </c>
      <c r="C7" s="241">
        <f>333/0.4*2.47</f>
        <v>2056.2750000000001</v>
      </c>
      <c r="D7" s="92" t="s">
        <v>178</v>
      </c>
      <c r="E7" s="239" t="s">
        <v>179</v>
      </c>
    </row>
    <row r="8" spans="2:5" ht="28.9">
      <c r="B8" s="239" t="s">
        <v>180</v>
      </c>
      <c r="C8" s="241">
        <f>2/0.4</f>
        <v>5</v>
      </c>
      <c r="D8" s="92" t="s">
        <v>181</v>
      </c>
      <c r="E8" s="239" t="s">
        <v>182</v>
      </c>
    </row>
    <row r="9" spans="2:5">
      <c r="B9" s="242" t="s">
        <v>183</v>
      </c>
      <c r="C9" s="243">
        <v>920500</v>
      </c>
      <c r="D9" s="242" t="s">
        <v>184</v>
      </c>
      <c r="E9" s="244"/>
    </row>
    <row r="10" spans="2:5">
      <c r="B10" s="245" t="s">
        <v>185</v>
      </c>
      <c r="C10" s="243">
        <v>3058000</v>
      </c>
      <c r="D10" s="242" t="s">
        <v>184</v>
      </c>
      <c r="E10" s="244"/>
    </row>
  </sheetData>
  <conditionalFormatting sqref="B3:E3">
    <cfRule type="cellIs" dxfId="0" priority="1" operator="lessThan">
      <formula>0</formula>
    </cfRule>
  </conditionalFormatting>
  <hyperlinks>
    <hyperlink ref="D4:D8" r:id="rId1" display="Laterite baseline report, p. 38" xr:uid="{DCBBF5DE-DB61-4074-9078-14640C750F73}"/>
  </hyperlinks>
  <pageMargins left="0.7" right="0.7" top="0.75" bottom="0.75" header="0.3" footer="0.3"/>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61670E027929440931DC4FF061F9A46" ma:contentTypeVersion="29" ma:contentTypeDescription="Ein neues Dokument erstellen." ma:contentTypeScope="" ma:versionID="0d88bc9cedf1ee999d8bb34fd8e7544b">
  <xsd:schema xmlns:xsd="http://www.w3.org/2001/XMLSchema" xmlns:xs="http://www.w3.org/2001/XMLSchema" xmlns:p="http://schemas.microsoft.com/office/2006/metadata/properties" xmlns:ns2="08b758c0-7f65-4904-9e43-345858c3c71c" xmlns:ns3="24dc8c7b-7b5d-4d41-8221-f7960f2ae5bd" targetNamespace="http://schemas.microsoft.com/office/2006/metadata/properties" ma:root="true" ma:fieldsID="980143298319afb703e608dd5fb72d34" ns2:_="" ns3:_="">
    <xsd:import namespace="08b758c0-7f65-4904-9e43-345858c3c71c"/>
    <xsd:import namespace="24dc8c7b-7b5d-4d41-8221-f7960f2ae5bd"/>
    <xsd:element name="properties">
      <xsd:complexType>
        <xsd:sequence>
          <xsd:element name="documentManagement">
            <xsd:complexType>
              <xsd:all>
                <xsd:element ref="ns2:Thematic_x0020_Focu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2:SharedWithUsers" minOccurs="0"/>
                <xsd:element ref="ns2:SharedWithDetails" minOccurs="0"/>
                <xsd:element ref="ns3:MediaServiceDateTaken" minOccurs="0"/>
                <xsd:element ref="ns3:MediaServiceLocation" minOccurs="0"/>
                <xsd:element ref="ns3:_Flow_SignoffStatus" minOccurs="0"/>
                <xsd:element ref="ns3:MediaLengthInSeconds" minOccurs="0"/>
                <xsd:element ref="ns2:TaxCatchAll" minOccurs="0"/>
                <xsd:element ref="ns3:lcf76f155ced4ddcb4097134ff3c332f" minOccurs="0"/>
                <xsd:element ref="ns3:PII"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b758c0-7f65-4904-9e43-345858c3c71c" elementFormDefault="qualified">
    <xsd:import namespace="http://schemas.microsoft.com/office/2006/documentManagement/types"/>
    <xsd:import namespace="http://schemas.microsoft.com/office/infopath/2007/PartnerControls"/>
    <xsd:element name="Thematic_x0020_Focus" ma:index="2" nillable="true" ma:displayName="Thematic Focus" ma:list="{b8d47e44-77bd-498c-a02c-fb6e3f62fb35}" ma:internalName="Thematic_x0020_Focus" ma:showField="Title" ma:web="08b758c0-7f65-4904-9e43-345858c3c71c">
      <xsd:complexType>
        <xsd:complexContent>
          <xsd:extension base="dms:MultiChoiceLookup">
            <xsd:sequence>
              <xsd:element name="Value" type="dms:Lookup" maxOccurs="unbounded" minOccurs="0" nillable="true"/>
            </xsd:sequence>
          </xsd:extension>
        </xsd:complexContent>
      </xsd:complexType>
    </xsd:element>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0fdbe3cc-6b80-43ad-a978-0da023464680}" ma:internalName="TaxCatchAll" ma:showField="CatchAllData" ma:web="08b758c0-7f65-4904-9e43-345858c3c71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4dc8c7b-7b5d-4d41-8221-f7960f2ae5bd"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AutoTags" ma:index="8" nillable="true" ma:displayName="Tags" ma:description="" ma:indexed="true" ma:internalName="MediaServiceAutoTags" ma:readOnly="true">
      <xsd:simpleType>
        <xsd:restriction base="dms:Text"/>
      </xsd:simple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_Flow_SignoffStatus" ma:index="21" nillable="true" ma:displayName="Status Unterschrift" ma:internalName="Status_x0020_Unterschrift">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Bildmarkierungen" ma:readOnly="false" ma:fieldId="{5cf76f15-5ced-4ddc-b409-7134ff3c332f}" ma:taxonomyMulti="true" ma:sspId="9b1bd33c-51cd-473d-b064-0ba0784f6672" ma:termSetId="09814cd3-568e-fe90-9814-8d621ff8fb84" ma:anchorId="fba54fb3-c3e1-fe81-a776-ca4b69148c4d" ma:open="true" ma:isKeyword="false">
      <xsd:complexType>
        <xsd:sequence>
          <xsd:element ref="pc:Terms" minOccurs="0" maxOccurs="1"/>
        </xsd:sequence>
      </xsd:complexType>
    </xsd:element>
    <xsd:element name="PII" ma:index="26" nillable="true" ma:displayName="PII" ma:default="0" ma:format="Dropdown" ma:indexed="true" ma:internalName="PI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hematic_x0020_Focus xmlns="08b758c0-7f65-4904-9e43-345858c3c71c" xsi:nil="true"/>
    <_Flow_SignoffStatus xmlns="24dc8c7b-7b5d-4d41-8221-f7960f2ae5bd" xsi:nil="true"/>
    <TaxCatchAll xmlns="08b758c0-7f65-4904-9e43-345858c3c71c" xsi:nil="true"/>
    <lcf76f155ced4ddcb4097134ff3c332f xmlns="24dc8c7b-7b5d-4d41-8221-f7960f2ae5bd">
      <Terms xmlns="http://schemas.microsoft.com/office/infopath/2007/PartnerControls"/>
    </lcf76f155ced4ddcb4097134ff3c332f>
    <PII xmlns="24dc8c7b-7b5d-4d41-8221-f7960f2ae5bd">false</PII>
  </documentManagement>
</p:properties>
</file>

<file path=customXml/itemProps1.xml><?xml version="1.0" encoding="utf-8"?>
<ds:datastoreItem xmlns:ds="http://schemas.openxmlformats.org/officeDocument/2006/customXml" ds:itemID="{B17C3E72-E6CB-413E-81E7-23613E47D569}"/>
</file>

<file path=customXml/itemProps2.xml><?xml version="1.0" encoding="utf-8"?>
<ds:datastoreItem xmlns:ds="http://schemas.openxmlformats.org/officeDocument/2006/customXml" ds:itemID="{06D29109-8AF0-4F2B-91EB-D8D5140DCA73}"/>
</file>

<file path=customXml/itemProps3.xml><?xml version="1.0" encoding="utf-8"?>
<ds:datastoreItem xmlns:ds="http://schemas.openxmlformats.org/officeDocument/2006/customXml" ds:itemID="{083CA661-FF88-4791-85B2-F80EA589301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Herz, Paul</dc:creator>
  <cp:keywords/>
  <dc:description/>
  <cp:lastModifiedBy>Frank, Theresa</cp:lastModifiedBy>
  <cp:revision/>
  <dcterms:created xsi:type="dcterms:W3CDTF">2021-10-12T15:11:17Z</dcterms:created>
  <dcterms:modified xsi:type="dcterms:W3CDTF">2026-08-25T13:48:13Z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0x010100861670E027929440931DC4FF061F9A46</vt:lpwstr>
  </property>
  <property fmtid="{D5CDD505-2E9C-101B-9397-08002B2CF9AE}" pid="3" name="MediaServiceImageTags">
    <vt:lpwstr/>
  </property>
  <property fmtid="{D5CDD505-2E9C-101B-9397-08002B2CF9AE}" pid="4" name="ESRI_WORKBOOK_ID">
    <vt:lpwstr>22106601e97b41bf94bbe600df0f237c</vt:lpwstr>
  </property>
</Properties>
</file>