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RTV01/06 MEL/03 SROI/"/>
    </mc:Choice>
  </mc:AlternateContent>
  <xr:revisionPtr revIDLastSave="2312" documentId="8_{48730A6D-F19C-4FB5-942D-50C4975F1202}" xr6:coauthVersionLast="47" xr6:coauthVersionMax="47" xr10:uidLastSave="{05986038-320E-4F23-8D7D-AC32CC60C061}"/>
  <bookViews>
    <workbookView xWindow="-108" yWindow="-108" windowWidth="23256" windowHeight="12456" activeTab="4" xr2:uid="{D727DE2A-A20A-4F61-A634-FF4E86980CF5}"/>
  </bookViews>
  <sheets>
    <sheet name="Summary" sheetId="7" r:id="rId1"/>
    <sheet name="ToC" sheetId="8" r:id="rId2"/>
    <sheet name="Model input" sheetId="5" r:id="rId3"/>
    <sheet name="SROI" sheetId="2" r:id="rId4"/>
    <sheet name="Sensitivity analysis" sheetId="12" r:id="rId5"/>
    <sheet name="Info" sheetId="10" r:id="rId6"/>
    <sheet name="Sample characteristics" sheetId="11" r:id="rId7"/>
  </sheets>
  <definedNames>
    <definedName name="_xlnm._FilterDatabase" localSheetId="3" hidden="1">SROI!$P$32:$P$32</definedName>
    <definedName name="_xlnm._FilterDatabase" localSheetId="0" hidden="1">Summary!$B$20:$C$23</definedName>
    <definedName name="Druckbereich" localSheetId="4">'Sensitivity analysis'!$A$1:$K$50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2" l="1"/>
  <c r="C12" i="5"/>
  <c r="C27" i="7"/>
  <c r="C26" i="7" l="1"/>
  <c r="F33" i="2" l="1"/>
  <c r="E33" i="2"/>
  <c r="D33" i="2"/>
  <c r="C17" i="5" l="1"/>
  <c r="C16" i="5"/>
  <c r="E4" i="2" l="1"/>
  <c r="D4" i="2"/>
  <c r="D5" i="2" s="1"/>
  <c r="C4" i="2"/>
  <c r="C5" i="2" l="1"/>
  <c r="F4" i="2"/>
  <c r="E5" i="2"/>
  <c r="D25" i="5"/>
  <c r="D24" i="5"/>
  <c r="C24" i="5"/>
  <c r="G4" i="2" l="1"/>
  <c r="F5" i="2"/>
  <c r="G23" i="5"/>
  <c r="C26" i="5"/>
  <c r="C25" i="5"/>
  <c r="D23" i="5"/>
  <c r="C23" i="5"/>
  <c r="D13" i="2" s="1"/>
  <c r="D22" i="5"/>
  <c r="C22" i="5"/>
  <c r="C21" i="5"/>
  <c r="H4" i="2" l="1"/>
  <c r="H5" i="2" s="1"/>
  <c r="G5" i="2"/>
  <c r="C13" i="2"/>
  <c r="E13" i="2"/>
  <c r="G21" i="5"/>
  <c r="C27" i="5"/>
  <c r="D27" i="5"/>
  <c r="G24" i="5"/>
  <c r="G22" i="5"/>
  <c r="G27" i="5" l="1"/>
  <c r="C14" i="7"/>
  <c r="G26" i="5"/>
  <c r="G25" i="5"/>
  <c r="H23" i="5" s="1"/>
  <c r="N14" i="2"/>
  <c r="C8" i="11"/>
  <c r="C7" i="11"/>
  <c r="C6" i="11"/>
  <c r="C5" i="11"/>
  <c r="C4" i="11"/>
  <c r="D34" i="2"/>
  <c r="D35" i="2" l="1"/>
  <c r="D36" i="2" s="1"/>
  <c r="H21" i="5"/>
  <c r="H24" i="5"/>
  <c r="H22" i="5"/>
  <c r="H25" i="5"/>
  <c r="C6" i="2"/>
  <c r="F34" i="2"/>
  <c r="E34" i="2"/>
  <c r="F35" i="2" l="1"/>
  <c r="F36" i="2" s="1"/>
  <c r="E35" i="2"/>
  <c r="E36" i="2" s="1"/>
  <c r="F6" i="2"/>
  <c r="M14" i="2"/>
  <c r="N15" i="2" s="1"/>
  <c r="L14" i="2"/>
  <c r="M15" i="2" s="1"/>
  <c r="N16" i="2" s="1"/>
  <c r="K14" i="2"/>
  <c r="L15" i="2" s="1"/>
  <c r="M16" i="2" s="1"/>
  <c r="N17" i="2" s="1"/>
  <c r="J14" i="2"/>
  <c r="K15" i="2" s="1"/>
  <c r="L16" i="2" s="1"/>
  <c r="M17" i="2" s="1"/>
  <c r="N18" i="2" s="1"/>
  <c r="I14" i="2"/>
  <c r="J15" i="2" s="1"/>
  <c r="K16" i="2" s="1"/>
  <c r="L17" i="2" s="1"/>
  <c r="M18" i="2" s="1"/>
  <c r="N19" i="2" s="1"/>
  <c r="H14" i="2"/>
  <c r="I15" i="2" s="1"/>
  <c r="J16" i="2" s="1"/>
  <c r="K17" i="2" s="1"/>
  <c r="L18" i="2" s="1"/>
  <c r="M19" i="2" s="1"/>
  <c r="N20" i="2" s="1"/>
  <c r="G14" i="2"/>
  <c r="H15" i="2" s="1"/>
  <c r="I16" i="2" s="1"/>
  <c r="J17" i="2" s="1"/>
  <c r="K18" i="2" s="1"/>
  <c r="L19" i="2" s="1"/>
  <c r="M20" i="2" s="1"/>
  <c r="N21" i="2" s="1"/>
  <c r="C38" i="2" l="1"/>
  <c r="C39" i="2" s="1"/>
  <c r="G36" i="2" s="1"/>
  <c r="F14" i="2"/>
  <c r="E14" i="2"/>
  <c r="F15" i="2" s="1"/>
  <c r="G16" i="2" s="1"/>
  <c r="H17" i="2" s="1"/>
  <c r="I18" i="2" s="1"/>
  <c r="J19" i="2" s="1"/>
  <c r="K20" i="2" s="1"/>
  <c r="L21" i="2" s="1"/>
  <c r="M22" i="2" s="1"/>
  <c r="D14" i="2"/>
  <c r="E15" i="2" s="1"/>
  <c r="F16" i="2" s="1"/>
  <c r="G17" i="2" s="1"/>
  <c r="H18" i="2" s="1"/>
  <c r="I19" i="2" s="1"/>
  <c r="J20" i="2" s="1"/>
  <c r="K21" i="2" s="1"/>
  <c r="L22" i="2" s="1"/>
  <c r="E6" i="2"/>
  <c r="E7" i="2" s="1"/>
  <c r="D6" i="2"/>
  <c r="D7" i="2" s="1"/>
  <c r="C7" i="2"/>
  <c r="M33" i="5"/>
  <c r="N33" i="5" s="1"/>
  <c r="O33" i="5" s="1"/>
  <c r="P33" i="5" s="1"/>
  <c r="Q33" i="5" s="1"/>
  <c r="H36" i="2" l="1"/>
  <c r="E27" i="2"/>
  <c r="C27" i="2"/>
  <c r="D27" i="2"/>
  <c r="G15" i="2"/>
  <c r="F7" i="2"/>
  <c r="F27" i="2" s="1"/>
  <c r="H16" i="2" l="1"/>
  <c r="I4" i="2" l="1"/>
  <c r="I17" i="2"/>
  <c r="G6" i="2"/>
  <c r="G7" i="2" s="1"/>
  <c r="G27" i="2" s="1"/>
  <c r="J4" i="2" l="1"/>
  <c r="J5" i="2" s="1"/>
  <c r="I5" i="2"/>
  <c r="H6" i="2"/>
  <c r="H7" i="2" s="1"/>
  <c r="H27" i="2" s="1"/>
  <c r="J18" i="2"/>
  <c r="C13" i="7"/>
  <c r="I6" i="2" l="1"/>
  <c r="I7" i="2" s="1"/>
  <c r="I27" i="2" s="1"/>
  <c r="K19" i="2"/>
  <c r="J6" i="2" l="1"/>
  <c r="J7" i="2" s="1"/>
  <c r="J27" i="2" s="1"/>
  <c r="K4" i="2"/>
  <c r="K5" i="2" s="1"/>
  <c r="L20" i="2"/>
  <c r="M21" i="2" s="1"/>
  <c r="N22" i="2" s="1"/>
  <c r="L4" i="2" l="1"/>
  <c r="C49" i="2" s="1"/>
  <c r="K6" i="2"/>
  <c r="K7" i="2" s="1"/>
  <c r="K27" i="2" s="1"/>
  <c r="L5" i="2" l="1"/>
  <c r="L6" i="2" s="1"/>
  <c r="L7" i="2" s="1"/>
  <c r="M27" i="2" l="1"/>
  <c r="N27" i="2"/>
  <c r="L27" i="2"/>
  <c r="C45" i="2" l="1"/>
  <c r="C47" i="2" l="1"/>
  <c r="G50" i="7"/>
  <c r="C50" i="7" l="1"/>
  <c r="G51" i="7"/>
  <c r="C40" i="2" l="1"/>
  <c r="C41" i="2" l="1"/>
  <c r="C48" i="2" s="1"/>
  <c r="C52" i="7" s="1"/>
  <c r="C53" i="2"/>
  <c r="C46" i="2"/>
  <c r="G52" i="7" s="1"/>
  <c r="C11" i="12" l="1"/>
  <c r="C20" i="7"/>
  <c r="C51" i="7"/>
  <c r="E30" i="12" l="1"/>
  <c r="F4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tc={8672ECC5-8A66-4F8C-946C-5B064D68DEB0}</author>
    <author>tc={64731E25-6E09-41A3-ADC2-B6DEFD163168}</author>
  </authors>
  <commentList>
    <comment ref="B26" authorId="0" shapeId="0" xr:uid="{8672ECC5-8A66-4F8C-946C-5B064D68DEB0}">
      <text>
        <t>[Threaded comment]
Your version of Excel allows you to read this threaded comment; however, any edits to it will get removed if the file is opened in a newer version of Excel. Learn more: https://go.microsoft.com/fwlink/?linkid=870924
Comment:
    10% increase of median baseline income. Median baseline income=675,000 UGX</t>
      </text>
    </comment>
    <comment ref="B27" authorId="1" shapeId="0" xr:uid="{64731E25-6E09-41A3-ADC2-B6DEFD163168}">
      <text>
        <t>[Threaded comment]
Your version of Excel allows you to read this threaded comment; however, any edits to it will get removed if the file is opened in a newer version of Excel. Learn more: https://go.microsoft.com/fwlink/?linkid=870924
Comment:
    10% income increase of median baseline hh income.
Median baseline hh income of 6,764,419 UGX.</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tc={79A421FA-D479-4B42-BFE1-AE165092C2BE}</author>
  </authors>
  <commentList>
    <comment ref="B5" authorId="0" shapeId="0" xr:uid="{79A421FA-D479-4B42-BFE1-AE165092C2BE}">
      <text>
        <t>[Threaded comment]
Your version of Excel allows you to read this threaded comment; however, any edits to it will get removed if the file is opened in a newer version of Excel. Learn more: https://go.microsoft.com/fwlink/?linkid=870924
Comment:
    We choose as year of analysis 2021 to be able to allow for comparisons with latest international poverty lines.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tc={32EA18E6-593B-4B0D-B078-A23475F328B1}</author>
    <author>tc={56FF7E33-02E3-4E17-AE3B-E07D47EEDB9C}</author>
    <author>tc={8763484B-5D12-4349-A25E-5263762DB0A4}</author>
    <author>tc={42FE874A-9AF9-4A21-9198-1A1F75D41797}</author>
    <author>tc={71939262-FB6A-46E5-AE48-E7C378500A76}</author>
    <author>tc={07B50514-CC18-48F5-8ABA-8CB55B50EF3D}</author>
  </authors>
  <commentList>
    <comment ref="B4" authorId="0" shapeId="0" xr:uid="{32EA18E6-593B-4B0D-B078-A23475F328B1}">
      <text>
        <t>[Threaded comment]
Your version of Excel allows you to read this threaded comment; however, any edits to it will get removed if the file is opened in a newer version of Excel. Learn more: https://go.microsoft.com/fwlink/?linkid=870924
Comment:
    We assume 2% income increase in Yr 1, 8% in Yr 2 and 10% in Yr 3. We treat this impact as real percentage gains in consumption relative to baseline.</t>
      </text>
    </comment>
    <comment ref="F4" authorId="1" shapeId="0" xr:uid="{56FF7E33-02E3-4E17-AE3B-E07D47EEDB9C}">
      <text>
        <t>[Threaded comment]
Your version of Excel allows you to read this threaded comment; however, any edits to it will get removed if the file is opened in a newer version of Excel. Learn more: https://go.microsoft.com/fwlink/?linkid=870924
Comment:
    Given Uganda graduation follow-ups show continued improvement through year 5 (https://villageenterprise.org/wp-content/uploads/2022/11/Village-Enterprise-Longitudinal-Study-Report.pdf) we assume income gains to grow by 3% real per year, compounding until Yr 7. From Yr 7 onwards, income gains are held constant.</t>
      </text>
    </comment>
    <comment ref="G32" authorId="2" shapeId="0" xr:uid="{8763484B-5D12-4349-A25E-5263762DB0A4}">
      <text>
        <t xml:space="preserve">[Threaded comment]
Your version of Excel allows you to read this threaded comment; however, any edits to it will get removed if the file is opened in a newer version of Excel. Learn more: https://go.microsoft.com/fwlink/?linkid=870924
Comment:
    We extend costs beyond HWG commitment to reflect the full costs for all 27,600 hh  to run through the full programm (2 years) </t>
      </text>
    </comment>
    <comment ref="B33" authorId="3" shapeId="0" xr:uid="{42FE874A-9AF9-4A21-9198-1A1F75D41797}">
      <text>
        <t>[Threaded comment]
Your version of Excel allows you to read this threaded comment; however, any edits to it will get removed if the file is opened in a newer version of Excel. Learn more: https://go.microsoft.com/fwlink/?linkid=870924
Comment:
    We substract inirect costs from the budget because we assume these are not necessary to replicate the program.</t>
      </text>
    </comment>
    <comment ref="G36" authorId="4" shapeId="0" xr:uid="{71939262-FB6A-46E5-AE48-E7C378500A76}">
      <text>
        <t>[Threaded comment]
Your version of Excel allows you to read this threaded comment; however, any edits to it will get removed if the file is opened in a newer version of Excel. Learn more: https://go.microsoft.com/fwlink/?linkid=870924
Comment:
    We likely overestimate program costs here because the largest share of program costs ocurr during the first 6 months of programming.</t>
      </text>
    </comment>
    <comment ref="B49" authorId="5" shapeId="0" xr:uid="{07B50514-CC18-48F5-8ABA-8CB55B50EF3D}">
      <text>
        <t xml:space="preserve">[Threaded comment]
Your version of Excel allows you to read this threaded comment; however, any edits to it will get removed if the file is opened in a newer version of Excel. Learn more: https://go.microsoft.com/fwlink/?linkid=870924
Comment:
    Compared to median baseline household consumption expenditure.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tc={750AFB2B-E88E-4513-A75C-F8A926D60E61}</author>
    <author>tc={85951B4D-4761-40C5-B025-4A1B0EC7CF4F}</author>
    <author>tc={3FF5419C-5210-41F0-8F9A-EB140B64A2D7}</author>
    <author>tc={7FA41055-E060-41E9-A403-2F97FCDFC0B9}</author>
    <author>tc={03038E9A-2F84-4301-87E9-AB51CCDB5060}</author>
    <author>tc={7CC1B9D2-DD30-4816-A8F7-C532D8B39557}</author>
    <author>tc={1FED4A91-CC6E-4A23-A4CE-D9F39BBC3EF5}</author>
  </authors>
  <commentList>
    <comment ref="B4" authorId="0" shapeId="0" xr:uid="{750AFB2B-E88E-4513-A75C-F8A926D60E61}">
      <text>
        <t>[Threaded comment]
Your version of Excel allows you to read this threaded comment; however, any edits to it will get removed if the file is opened in a newer version of Excel. Learn more: https://go.microsoft.com/fwlink/?linkid=870924
Comment:
    Mean is 1.4 ha.</t>
      </text>
    </comment>
    <comment ref="B5" authorId="1" shapeId="0" xr:uid="{85951B4D-4761-40C5-B025-4A1B0EC7CF4F}">
      <text>
        <t>[Threaded comment]
Your version of Excel allows you to read this threaded comment; however, any edits to it will get removed if the file is opened in a newer version of Excel. Learn more: https://go.microsoft.com/fwlink/?linkid=870924
Comment:
    Mean is 0.5 ha.</t>
      </text>
    </comment>
    <comment ref="B6" authorId="2" shapeId="0" xr:uid="{3FF5419C-5210-41F0-8F9A-EB140B64A2D7}">
      <text>
        <t xml:space="preserve">[Threaded comment]
Your version of Excel allows you to read this threaded comment; however, any edits to it will get removed if the file is opened in a newer version of Excel. Learn more: https://go.microsoft.com/fwlink/?linkid=870924
Comment:
    Mean is 810. If we take coffee trees per ha of farmland with coffee trees present, median is 346 and mean 563 trees. </t>
      </text>
    </comment>
    <comment ref="B7" authorId="3" shapeId="0" xr:uid="{7FA41055-E060-41E9-A403-2F97FCDFC0B9}">
      <text>
        <t>[Threaded comment]
Your version of Excel allows you to read this threaded comment; however, any edits to it will get removed if the file is opened in a newer version of Excel. Learn more: https://go.microsoft.com/fwlink/?linkid=870924
Comment:
    Mean is 3,316 kg/ha.</t>
      </text>
    </comment>
    <comment ref="B8" authorId="4" shapeId="0" xr:uid="{03038E9A-2F84-4301-87E9-AB51CCDB5060}">
      <text>
        <t>[Threaded comment]
Your version of Excel allows you to read this threaded comment; however, any edits to it will get removed if the file is opened in a newer version of Excel. Learn more: https://go.microsoft.com/fwlink/?linkid=870924
Comment:
    Mean is 7.25.</t>
      </text>
    </comment>
    <comment ref="B9" authorId="5" shapeId="0" xr:uid="{7CC1B9D2-DD30-4816-A8F7-C532D8B39557}">
      <text>
        <t>[Threaded comment]
Your version of Excel allows you to read this threaded comment; however, any edits to it will get removed if the file is opened in a newer version of Excel. Learn more: https://go.microsoft.com/fwlink/?linkid=870924
Comment:
    Income=revenues-expenditures. Mean is 2,383,826 UGX</t>
      </text>
    </comment>
    <comment ref="B10" authorId="6" shapeId="0" xr:uid="{1FED4A91-CC6E-4A23-A4CE-D9F39BBC3EF5}">
      <text>
        <t>[Threaded comment]
Your version of Excel allows you to read this threaded comment; however, any edits to it will get removed if the file is opened in a newer version of Excel. Learn more: https://go.microsoft.com/fwlink/?linkid=870924
Comment:
    Mean is 6,989,116 UGX</t>
      </text>
    </comment>
  </commentList>
</comments>
</file>

<file path=xl/sharedStrings.xml><?xml version="1.0" encoding="utf-8"?>
<sst xmlns="http://schemas.openxmlformats.org/spreadsheetml/2006/main" count="210" uniqueCount="185">
  <si>
    <t>HWG Impact Model:</t>
  </si>
  <si>
    <t>Pathways Out of Poverty</t>
  </si>
  <si>
    <t>Overview</t>
  </si>
  <si>
    <t>Project name</t>
  </si>
  <si>
    <t>Pathways out of poverty</t>
  </si>
  <si>
    <t>Implementing partner</t>
  </si>
  <si>
    <t>Raising The Village (RTV)</t>
  </si>
  <si>
    <t>Evaluation partner</t>
  </si>
  <si>
    <t>Laterite</t>
  </si>
  <si>
    <t>Project country</t>
  </si>
  <si>
    <t>Uganda</t>
  </si>
  <si>
    <t>Project region</t>
  </si>
  <si>
    <t>Kitagwenda and Rakai districts</t>
  </si>
  <si>
    <t>Project duration</t>
  </si>
  <si>
    <t>01/2024-12/2026</t>
  </si>
  <si>
    <t>Objective</t>
  </si>
  <si>
    <t>Enhance the economic well-being of last-mile, subsistence farmers living in ultra-poverty by increasing household income and earnings to $2 USD/day within 24 months – with prioritization of the most vulnerable
households, particularly those headed by women and youth</t>
  </si>
  <si>
    <t>Budget (2024 nominal EUR)</t>
  </si>
  <si>
    <t>Outreach (number of households)</t>
  </si>
  <si>
    <t>Date of Analysis / Version</t>
  </si>
  <si>
    <t>Author</t>
  </si>
  <si>
    <t>Sarah Wiegel</t>
  </si>
  <si>
    <t>SROI</t>
  </si>
  <si>
    <t>Total SROI</t>
  </si>
  <si>
    <t>Type</t>
  </si>
  <si>
    <t>Forecast</t>
  </si>
  <si>
    <t>Level of certainty*</t>
  </si>
  <si>
    <t>Medium</t>
  </si>
  <si>
    <t>Data source of impact estimates</t>
  </si>
  <si>
    <t>Mahmud, M. &amp; E. Riley (2025): "'We're All in This Together': Experimental Evidence from a Universal Livelihoods Program", Unpublished manuscript.</t>
  </si>
  <si>
    <r>
      <t xml:space="preserve">Sensitivity analysis
</t>
    </r>
    <r>
      <rPr>
        <sz val="10"/>
        <color theme="1"/>
        <rFont val="Pero"/>
        <family val="2"/>
      </rPr>
      <t>(parameters to determine lower- and upper-bound SROI estimates)</t>
    </r>
  </si>
  <si>
    <t>Baseline income + expected income increase</t>
  </si>
  <si>
    <t>Lower-bound SROI</t>
  </si>
  <si>
    <t>Upper-bound SROI</t>
  </si>
  <si>
    <t>HWG evaluation</t>
  </si>
  <si>
    <t>Evaluation methodology</t>
  </si>
  <si>
    <t>Stepped-wedge clustered RCT with the parish as cluster unit (with a sequential roll-out of program activities, future cohorts are used as controls for earlier cohorts)</t>
  </si>
  <si>
    <t>Primary outcome</t>
  </si>
  <si>
    <t>Household consumption expenditure</t>
  </si>
  <si>
    <t>Income measurement</t>
  </si>
  <si>
    <t>Farm manager's self-reported recall data on (coffee sales volume x coffee price - input costs) + (sales volume by crop x price of crop - input costs) + revenues from sales of animal byproducts + profits from non-farm businesses + wage income from casual labor of household members + net salary from formal wage employment of household members [+ profits from animal sales]</t>
  </si>
  <si>
    <t>Sample size</t>
  </si>
  <si>
    <t>1,260 households in 42 parishes</t>
  </si>
  <si>
    <t>Study population</t>
  </si>
  <si>
    <t>Coffee-cultivating households that reside in project parishes</t>
  </si>
  <si>
    <t>Methodological rigor*</t>
  </si>
  <si>
    <t>Excellent</t>
  </si>
  <si>
    <t xml:space="preserve">Findings on other outcomes </t>
  </si>
  <si>
    <t>Quality of life (Cantrill ladder)</t>
  </si>
  <si>
    <t>Results expected in Februray 2027 (midline) and February 2029 (endline)</t>
  </si>
  <si>
    <t>Health</t>
  </si>
  <si>
    <t>Access to improved water sources</t>
  </si>
  <si>
    <t>Present Value vs Costs</t>
  </si>
  <si>
    <t>PV per HH</t>
  </si>
  <si>
    <t>Project Costs discounted</t>
  </si>
  <si>
    <t>Costs per HH</t>
  </si>
  <si>
    <t xml:space="preserve">Present Value </t>
  </si>
  <si>
    <t>NPV per HH</t>
  </si>
  <si>
    <t xml:space="preserve">Net Present Value </t>
  </si>
  <si>
    <r>
      <rPr>
        <b/>
        <sz val="12"/>
        <color theme="1"/>
        <rFont val="Pero"/>
        <family val="2"/>
      </rPr>
      <t>* Definitions</t>
    </r>
    <r>
      <rPr>
        <sz val="12"/>
        <color theme="1"/>
        <rFont val="Pero"/>
        <family val="2"/>
      </rPr>
      <t xml:space="preserve"> see tab "Info"</t>
    </r>
  </si>
  <si>
    <t>1) Pathways out of Poverty -  Theory of Change</t>
  </si>
  <si>
    <t>2) HereWeGrow Impact Map</t>
  </si>
  <si>
    <t>1) Details of the Analysis</t>
  </si>
  <si>
    <t>Impact Measure</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</si>
  <si>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</si>
  <si>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</si>
  <si>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</si>
  <si>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</si>
  <si>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</si>
  <si>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</si>
  <si>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</si>
  <si>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</si>
  <si>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Assumption</t>
  </si>
  <si>
    <t>Value</t>
  </si>
  <si>
    <t>Discount rate*</t>
  </si>
  <si>
    <t>Program impact</t>
  </si>
  <si>
    <t>Source</t>
  </si>
  <si>
    <t>Notes</t>
  </si>
  <si>
    <t>Median baseline annual household consumption (in nominal 2024 UGX)</t>
  </si>
  <si>
    <t>Laterite Baseline Report, p. 25</t>
  </si>
  <si>
    <t>3431.973*365*5.4</t>
  </si>
  <si>
    <t>Expected income increase (measured in consumption expenditure) in Yr 3</t>
  </si>
  <si>
    <t>Mahmud, M. and E. Riley (2025): "'We're All in This Together': Experimental Evidence form a Universal Livelihoods Program". Unpublished</t>
  </si>
  <si>
    <t xml:space="preserve">Income increased by 26% in the same paper. RCT results are much more conservative than RTV's own impact measurements. According to RTV Rapid Assessment for Cycle A 2024 HH Income and Production increased by 123%. RTV Impact Report 2024 reports differential between RTV HH Income and Production and peer group of 26% in Yr 1, 37% in Yr 2, 39% in Yr 3, 39% in Yr 4 and 45% in Yr 5. </t>
  </si>
  <si>
    <t>Household reach</t>
  </si>
  <si>
    <t>Project exposure (households graduate after 2 years) at end of HWG-funded PoP program</t>
  </si>
  <si>
    <t>Cycle</t>
  </si>
  <si>
    <t>Planned</t>
  </si>
  <si>
    <t>Actual</t>
  </si>
  <si>
    <t>Years</t>
  </si>
  <si>
    <t>HH</t>
  </si>
  <si>
    <t>Share</t>
  </si>
  <si>
    <t>Cycle A 2024</t>
  </si>
  <si>
    <t>Cycle B 2024</t>
  </si>
  <si>
    <t>Cycle A 2025</t>
  </si>
  <si>
    <t>Cycle B 2025</t>
  </si>
  <si>
    <t>2 or more</t>
  </si>
  <si>
    <t>Cycle A 2026</t>
  </si>
  <si>
    <t>Total</t>
  </si>
  <si>
    <t>Cycle B 2026</t>
  </si>
  <si>
    <t>Total household-years</t>
  </si>
  <si>
    <t>Total household-years for 2 year programming</t>
  </si>
  <si>
    <t>3) External parameters used in the analysis</t>
  </si>
  <si>
    <t>Inflation*</t>
  </si>
  <si>
    <t>Year</t>
  </si>
  <si>
    <t xml:space="preserve">Source </t>
  </si>
  <si>
    <t>Uganda (GDP deflator; base year=2016)</t>
  </si>
  <si>
    <t xml:space="preserve">Source: 2021-2030: IMF GDP deflator; 2031-2035: 3-year average inflation rate (2028-2030 - 4.6% per year) </t>
  </si>
  <si>
    <t>Germany (GDP deflator ; base year=2015/2016)</t>
  </si>
  <si>
    <t>Exchange rates</t>
  </si>
  <si>
    <t>UGX:EUR</t>
  </si>
  <si>
    <t>Standard</t>
  </si>
  <si>
    <t xml:space="preserve"> Source: 2021 average exchange rate</t>
  </si>
  <si>
    <t>*Detailed definitions are given under the tab "Explanations"</t>
  </si>
  <si>
    <t>1) Incremental Cash-flows household level</t>
  </si>
  <si>
    <t>Additional annual income per household (in real 2024 UGX)</t>
  </si>
  <si>
    <t>Additional profit per household, discounted (in real 2024 UGX)</t>
  </si>
  <si>
    <t>Additional profit per household, discounted (in real 2021 UGX)</t>
  </si>
  <si>
    <t>Additional income per household, discounted (in real 2021 EUR)</t>
  </si>
  <si>
    <t>2) Number of households per year and project location</t>
  </si>
  <si>
    <t>Number of years since participation</t>
  </si>
  <si>
    <t>Project Lifetime</t>
  </si>
  <si>
    <t>Beyond project lifetime</t>
  </si>
  <si>
    <t>3) Incremental cash-flow total project discounted</t>
  </si>
  <si>
    <t>Incremental Cash-flow , discounted (in real 2021 EUR)</t>
  </si>
  <si>
    <t xml:space="preserve">4) Project Costs </t>
  </si>
  <si>
    <t>HWG investment</t>
  </si>
  <si>
    <t>Additional costs to complete 2-year programming for all enrolled households</t>
  </si>
  <si>
    <t>Project Costs (in nominal EUR)</t>
  </si>
  <si>
    <t>RTV Realigned Budget 11_2025</t>
  </si>
  <si>
    <t>Project Costs (in real 2024 EUR)</t>
  </si>
  <si>
    <t>Project Costs, discounted (in real 2024 EUR)</t>
  </si>
  <si>
    <t>Project Costs, discounted (in real 2021 EUR)</t>
  </si>
  <si>
    <t>HWG investment discounted (in 2021 EUR)</t>
  </si>
  <si>
    <t>Costs per household-year (in 2021 EUR)</t>
  </si>
  <si>
    <t>It costs about 58 EUR (in 2021 EUR) to provide one year of programming to one household.</t>
  </si>
  <si>
    <t>Total project costs (to allow 2-year programming for all enrolled hh) (discounted in 2021 EUR)</t>
  </si>
  <si>
    <t>Program costs per household discounted (in 2021 EUR)</t>
  </si>
  <si>
    <t>The average cost per participating household is 116 EUR (in 2021 EUR). This is the cost for a household to run through 2 years of programming.</t>
  </si>
  <si>
    <t>5) Present Value (in 2021 EUR)</t>
  </si>
  <si>
    <t>Net Present Value</t>
  </si>
  <si>
    <t xml:space="preserve">Present Value per household </t>
  </si>
  <si>
    <t>Net Present Value per household</t>
  </si>
  <si>
    <t>Relative increase in household income</t>
  </si>
  <si>
    <t>6) Project SROI</t>
  </si>
  <si>
    <t>SROI=Present value of project benefit/Present value of project costs</t>
  </si>
  <si>
    <t>Sensitivity analysis</t>
  </si>
  <si>
    <t>Driver</t>
  </si>
  <si>
    <t>Base</t>
  </si>
  <si>
    <t>Note</t>
  </si>
  <si>
    <t>Discount rate</t>
  </si>
  <si>
    <t>Master input. Assumptions reads this cell.</t>
  </si>
  <si>
    <t>Baseline household income (2024 UGX)</t>
  </si>
  <si>
    <t>Expected income increase (Yr 3)</t>
  </si>
  <si>
    <t>Annual effect decay/increase</t>
  </si>
  <si>
    <t>3% p.a. (Year 4-6)</t>
  </si>
  <si>
    <t>Master input</t>
  </si>
  <si>
    <t>Non-implementation cost share deducted</t>
  </si>
  <si>
    <t>Master input. 9% are deducted from annual budget.</t>
  </si>
  <si>
    <t>NICS</t>
  </si>
  <si>
    <t>Median Baseline income (2024 UGX)</t>
  </si>
  <si>
    <t>Expected income increase</t>
  </si>
  <si>
    <t>Household and farm characteristics of evaluation sample (subsample of coffee-selling households only; RTV targets all households in a treated parish)</t>
  </si>
  <si>
    <t>Characteristics</t>
  </si>
  <si>
    <t>Median farm size (ha)</t>
  </si>
  <si>
    <t>Laterite baseline report, p. 38</t>
  </si>
  <si>
    <t>Median coffee farm size (ha)</t>
  </si>
  <si>
    <t>Median number of productive coffee trees per ha</t>
  </si>
  <si>
    <t>Laterite baseline report, p. 46</t>
  </si>
  <si>
    <t>This is number of productive coffee trees per ha of farmland with more than 50% coffee tree coverage. This includes Robusta and Arabica trees.</t>
  </si>
  <si>
    <t>Median Robusta productivity per year (kg fresh cherry/ha)</t>
  </si>
  <si>
    <t>Laterite Baseline Report, p. 47</t>
  </si>
  <si>
    <t>Value provided as dried cherry (kiboko); converted to fresh cherry by dividing by 0.5.</t>
  </si>
  <si>
    <t>Median Robusta productivity per year (kg fresh cherry/tree)</t>
  </si>
  <si>
    <t>Laterite Baseline Report, p. 91</t>
  </si>
  <si>
    <t>Value provided as dried cherry (kiboko); converted to fresh cherry by dividing by 0.5.  Productivity seems very high.</t>
  </si>
  <si>
    <t>Median annual coffee income in nominal 2024 UGX</t>
  </si>
  <si>
    <t>Laterite baseline data</t>
  </si>
  <si>
    <t>Median total annual income in nominal 2024 UGX</t>
  </si>
  <si>
    <t xml:space="preserve">To test different scenarios change the data in column "Value". Reinsert the values from column "Base" into the column "Value" to reproduce the original model. </t>
  </si>
  <si>
    <r>
      <rPr>
        <b/>
        <sz val="11"/>
        <color theme="1"/>
        <rFont val="Pero"/>
        <family val="2"/>
      </rPr>
      <t xml:space="preserve">Discount rate: </t>
    </r>
    <r>
      <rPr>
        <sz val="11"/>
        <color theme="1"/>
        <rFont val="Pero"/>
        <family val="2"/>
      </rPr>
      <t>Not discounting project benefits and costs would increase the SROI to 9.2.</t>
    </r>
  </si>
  <si>
    <r>
      <rPr>
        <b/>
        <sz val="11"/>
        <color theme="1"/>
        <rFont val="Pero"/>
        <family val="2"/>
      </rPr>
      <t xml:space="preserve">Non-implementation cost share: </t>
    </r>
    <r>
      <rPr>
        <sz val="11"/>
        <color theme="1"/>
        <rFont val="Pero"/>
        <family val="2"/>
      </rPr>
      <t>The project budget includes 9% indirect costs. Excluding these costs in the cost base for the SROI calculation increases SROI to 6.5.</t>
    </r>
  </si>
  <si>
    <t>SROI (based on entries in column "Value")</t>
  </si>
  <si>
    <r>
      <rPr>
        <b/>
        <sz val="11"/>
        <color rgb="FF000000"/>
        <rFont val="Pero"/>
        <family val="2"/>
      </rPr>
      <t>Baseline income and expected income increase:</t>
    </r>
    <r>
      <rPr>
        <sz val="11"/>
        <color rgb="FF000000"/>
        <rFont val="Pero"/>
        <family val="2"/>
      </rPr>
      <t xml:space="preserve"> The project generates positive and meaningful returns in most scenarios. Even under a conservative scenario of a 5% increase in median household consumption (the cited RCT demonstrates a 10% increase in mean hh consumption and a 26% increase in mean household income), SROI stays positive with a baseline household income of at least 1.5 mio UGX (~400 EUR). Households that are poorer at project start (RTV's own baseline surveys show mean annual household incomes as low as 675,000 UGX) require greater relative income gains of at least 20% to achieve a posititve SROI.</t>
    </r>
  </si>
  <si>
    <r>
      <rPr>
        <b/>
        <sz val="11"/>
        <color theme="1"/>
        <rFont val="Pero"/>
        <family val="2"/>
      </rPr>
      <t xml:space="preserve">Dynamic treatment effects: </t>
    </r>
    <r>
      <rPr>
        <sz val="11"/>
        <color theme="1"/>
        <rFont val="Pero"/>
        <family val="2"/>
      </rPr>
      <t>Varying how the treatment effect differs over time has a neglible effect on SROI. If program effects grow more strongly by 10% each year until Yr 7, SROI increases to 6.6. If we apply a strong annual decay of 15% to the annual modelled benefit, SROI decreases to 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</si>
</sst>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0\ &quot;€&quot;;\-#,##0\ &quot;€&quot;"/>
    <numFmt numFmtId="43" formatCode="_-* #,##0.00_-;\-* #,##0.00_-;_-* &quot;-&quot;??_-;_-@_-"/>
    <numFmt numFmtId="164" formatCode="_-* #,##0.00\ [$€-407]_-;\-* #,##0.00\ [$€-407]_-;_-* &quot;-&quot;??\ [$€-407]_-;_-@_-"/>
    <numFmt numFmtId="165" formatCode="#,##0\ &quot;€&quot;"/>
    <numFmt numFmtId="166" formatCode="0.0"/>
    <numFmt numFmtId="167" formatCode="_-* #,##0\ [$€-407]_-;\-* #,##0\ [$€-407]_-;_-* &quot;-&quot;\ [$€-407]_-;_-@_-"/>
    <numFmt numFmtId="168" formatCode="_-* #,##0.0\ [$€-407]_-;\-* #,##0.0\ [$€-407]_-;_-* &quot;-&quot;?\ [$€-407]_-;_-@_-"/>
    <numFmt numFmtId="169" formatCode="0.000"/>
    <numFmt numFmtId="170" formatCode="#,##0.00\ &quot;€&quot;"/>
    <numFmt numFmtId="171" formatCode="#,##0_ ;\-#,##0\ "/>
    <numFmt numFmtId="172" formatCode="#,##0.0"/>
    <numFmt numFmtId="173" formatCode="#,##0\ _€;\-#,##0\ _€"/>
    <numFmt numFmtId="174" formatCode="#,##0\ _€"/>
    <numFmt numFmtId="175" formatCode="#,##0.00_ ;\-#,##0.00\ "/>
    <numFmt numFmtId="176" formatCode="#,##0.000000"/>
  </numFmts>
  <fonts count="54" x14ac:knownFonts="1">
    <font>
      <sz val="11"/>
      <color theme="1"/>
      <name val="Calibri"/>
      <family val="2"/>
      <scheme val="minor"/>
    </font>
    <font>
      <sz val="11"/>
      <color theme="1"/>
      <name val="Pero"/>
      <family val="2"/>
    </font>
    <font>
      <sz val="11"/>
      <color theme="1"/>
      <name val="Pero"/>
      <family val="2"/>
    </font>
    <font>
      <sz val="11"/>
      <color theme="1"/>
      <name val="Pero"/>
      <family val="2"/>
    </font>
    <font>
      <sz val="11"/>
      <color theme="1"/>
      <name val="Calibri"/>
      <family val="2"/>
      <scheme val="minor"/>
    </font>
    <font>
      <sz val="11"/>
      <color theme="1"/>
      <name val="Pero"/>
      <family val="2"/>
    </font>
    <font>
      <u/>
      <sz val="11"/>
      <color theme="10"/>
      <name val="Calibri"/>
      <family val="2"/>
      <scheme val="minor"/>
    </font>
    <font>
      <sz val="11"/>
      <name val="Pero"/>
      <family val="2"/>
    </font>
    <font>
      <b/>
      <sz val="11"/>
      <color theme="1"/>
      <name val="Pero"/>
      <family val="2"/>
    </font>
    <font>
      <b/>
      <sz val="14"/>
      <color theme="1"/>
      <name val="Calibri"/>
      <family val="2"/>
      <scheme val="minor"/>
    </font>
    <font>
      <b/>
      <sz val="12"/>
      <color theme="1"/>
      <name val="Pero ExtraBold"/>
      <family val="2"/>
    </font>
    <font>
      <sz val="20"/>
      <color theme="1"/>
      <name val="Pero ExtraBold"/>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b/>
      <sz val="11"/>
      <color theme="1"/>
      <name val="Calibri"/>
      <family val="2"/>
      <scheme val="minor"/>
    </font>
    <font>
      <b/>
      <sz val="11"/>
      <color indexed="8"/>
      <name val="Pero"/>
      <family val="2"/>
    </font>
    <font>
      <b/>
      <sz val="16"/>
      <color indexed="8"/>
      <name val="Pero"/>
      <family val="2"/>
    </font>
    <font>
      <b/>
      <sz val="14"/>
      <color theme="1"/>
      <name val="Pero"/>
      <family val="2"/>
    </font>
    <font>
      <b/>
      <sz val="14"/>
      <color theme="0"/>
      <name val="Pero"/>
      <family val="2"/>
    </font>
    <font>
      <b/>
      <sz val="14"/>
      <name val="Pero"/>
      <family val="2"/>
    </font>
    <font>
      <b/>
      <sz val="12"/>
      <color theme="1"/>
      <name val="Pero"/>
      <family val="2"/>
    </font>
    <font>
      <sz val="12"/>
      <color theme="1"/>
      <name val="Pero"/>
      <family val="2"/>
    </font>
    <font>
      <b/>
      <sz val="16"/>
      <color rgb="FF000000"/>
      <name val="Pero"/>
      <family val="2"/>
    </font>
    <font>
      <sz val="11"/>
      <color rgb="FF000000"/>
      <name val="Pero"/>
      <family val="2"/>
    </font>
    <font>
      <sz val="8"/>
      <name val="Calibri"/>
      <family val="2"/>
      <scheme val="minor"/>
    </font>
    <font>
      <sz val="12"/>
      <color theme="1"/>
      <name val="Pero ExtraBold"/>
      <family val="2"/>
    </font>
    <font>
      <sz val="12"/>
      <color theme="1"/>
      <name val="Calibri"/>
      <family val="2"/>
      <scheme val="minor"/>
    </font>
    <font>
      <b/>
      <sz val="11"/>
      <color theme="1"/>
      <name val="Pero ExtraBold"/>
      <family val="2"/>
    </font>
    <font>
      <sz val="11"/>
      <color theme="0"/>
      <name val="Pero"/>
      <family val="2"/>
    </font>
    <font>
      <sz val="11"/>
      <color theme="1"/>
      <name val="Pero"/>
      <family val="2"/>
    </font>
    <font>
      <b/>
      <sz val="11"/>
      <color theme="1"/>
      <name val="Pero"/>
      <family val="2"/>
    </font>
    <font>
      <b/>
      <sz val="11"/>
      <color rgb="FF000000"/>
      <name val="Pero"/>
      <family val="2"/>
    </font>
    <font>
      <sz val="11"/>
      <color rgb="FF000000"/>
      <name val="Pero"/>
      <family val="2"/>
    </font>
    <font>
      <u/>
      <sz val="11"/>
      <color rgb="FF0563C1"/>
      <name val="Pero"/>
      <family val="2"/>
    </font>
    <font>
      <i/>
      <sz val="10"/>
      <color rgb="FF595959"/>
      <name val="Pero"/>
      <family val="2"/>
    </font>
    <font>
      <b/>
      <sz val="11"/>
      <color rgb="FF000000"/>
      <name val="Pero"/>
      <family val="2"/>
    </font>
    <font>
      <i/>
      <sz val="10"/>
      <color rgb="FF595959"/>
      <name val="Pero"/>
      <family val="2"/>
    </font>
    <font>
      <u/>
      <sz val="11"/>
      <color theme="10"/>
      <name val="Pero"/>
      <family val="2"/>
    </font>
    <font>
      <sz val="16"/>
      <color indexed="8"/>
      <name val="Pero"/>
      <family val="2"/>
    </font>
    <font>
      <sz val="16"/>
      <color theme="1"/>
      <name val="Calibri"/>
      <family val="2"/>
      <scheme val="minor"/>
    </font>
    <font>
      <b/>
      <sz val="14"/>
      <color theme="1"/>
      <name val="Pero"/>
      <family val="2"/>
    </font>
    <font>
      <sz val="11"/>
      <color theme="0"/>
      <name val="Calibri"/>
      <family val="2"/>
      <scheme val="minor"/>
    </font>
    <font>
      <sz val="10"/>
      <color theme="1"/>
      <name val="Pero"/>
      <family val="2"/>
    </font>
    <font>
      <sz val="14"/>
      <color indexed="8"/>
      <name val="Pero ExtraBold"/>
      <family val="2"/>
    </font>
    <font>
      <b/>
      <sz val="11"/>
      <name val="Pero"/>
      <family val="2"/>
    </font>
    <font>
      <sz val="11"/>
      <name val="Pero ExtraBold"/>
      <family val="2"/>
    </font>
    <font>
      <sz val="11"/>
      <color indexed="8"/>
      <name val="Pero ExtraBold"/>
      <family val="2"/>
    </font>
    <font>
      <sz val="11"/>
      <color theme="1"/>
      <name val="Pero ExtraBold"/>
      <family val="2"/>
    </font>
    <font>
      <sz val="14"/>
      <color theme="1"/>
      <name val="Pero ExtraBold"/>
      <family val="2"/>
    </font>
    <font>
      <b/>
      <sz val="14"/>
      <color theme="1"/>
      <name val="Pero ExtraBold"/>
      <family val="2"/>
    </font>
  </fonts>
  <fills count="13">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C8AFBE"/>
        <bgColor indexed="64"/>
      </patternFill>
    </fill>
    <fill>
      <patternFill patternType="solid">
        <fgColor rgb="FFFFCC99"/>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rgb="FFCDD2B4"/>
        <bgColor indexed="64"/>
      </patternFill>
    </fill>
    <fill>
      <patternFill patternType="solid">
        <fgColor rgb="FFFFF2CC"/>
        <bgColor indexed="64"/>
      </patternFill>
    </fill>
    <fill>
      <patternFill patternType="solid">
        <fgColor rgb="FFDCA59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style="thin">
        <color auto="1"/>
      </left>
      <right/>
      <top style="thin">
        <color auto="1"/>
      </top>
      <bottom/>
      <diagonal/>
    </border>
    <border>
      <left/>
      <right style="thin">
        <color theme="0" tint="-0.499984740745262"/>
      </right>
      <top style="thin">
        <color indexed="64"/>
      </top>
      <bottom style="thin">
        <color indexed="64"/>
      </bottom>
      <diagonal/>
    </border>
  </borders>
  <cellStyleXfs count="6">
    <xf numFmtId="0" fontId="0" fillId="0" borderId="0"/>
    <xf numFmtId="43" fontId="4" fillId="0" borderId="0" applyFon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xf numFmtId="0" fontId="13" fillId="5" borderId="7" applyNumberFormat="0" applyAlignment="0" applyProtection="0"/>
    <xf numFmtId="0" fontId="14" fillId="0" borderId="0"/>
  </cellStyleXfs>
  <cellXfs count="275">
    <xf numFmtId="0" fontId="0" fillId="0" borderId="0" xfId="0"/>
    <xf numFmtId="0" fontId="5" fillId="0" borderId="0" xfId="0" applyFont="1"/>
    <xf numFmtId="0" fontId="8" fillId="0" borderId="0" xfId="0" applyFont="1"/>
    <xf numFmtId="0" fontId="0" fillId="0" borderId="1" xfId="0" applyBorder="1"/>
    <xf numFmtId="0" fontId="15" fillId="3" borderId="0" xfId="5" applyFont="1" applyFill="1" applyAlignment="1">
      <alignment horizontal="left"/>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11" xfId="0" applyFill="1" applyBorder="1" applyAlignment="1">
      <alignment wrapText="1"/>
    </xf>
    <xf numFmtId="0" fontId="0" fillId="8" borderId="11" xfId="0" applyFill="1" applyBorder="1"/>
    <xf numFmtId="0" fontId="0" fillId="8" borderId="12" xfId="0" applyFill="1" applyBorder="1"/>
    <xf numFmtId="0" fontId="15" fillId="8" borderId="13" xfId="5" applyFont="1" applyFill="1" applyBorder="1" applyAlignment="1">
      <alignment horizontal="left"/>
    </xf>
    <xf numFmtId="0" fontId="20" fillId="9" borderId="0" xfId="5" applyFont="1" applyFill="1" applyAlignment="1">
      <alignment horizontal="left" vertical="center"/>
    </xf>
    <xf numFmtId="0" fontId="0" fillId="8" borderId="0" xfId="0" applyFill="1"/>
    <xf numFmtId="0" fontId="0" fillId="8" borderId="14" xfId="0" applyFill="1" applyBorder="1"/>
    <xf numFmtId="0" fontId="0" fillId="8" borderId="13" xfId="0" applyFill="1" applyBorder="1" applyAlignment="1">
      <alignment horizontal="left" vertical="center"/>
    </xf>
    <xf numFmtId="0" fontId="0" fillId="8" borderId="0" xfId="0" applyFill="1" applyAlignment="1">
      <alignment horizontal="left" vertical="center"/>
    </xf>
    <xf numFmtId="0" fontId="0" fillId="8" borderId="0" xfId="0" applyFill="1" applyAlignment="1">
      <alignment wrapText="1"/>
    </xf>
    <xf numFmtId="0" fontId="15" fillId="3" borderId="13" xfId="5" applyFont="1" applyFill="1" applyBorder="1" applyAlignment="1">
      <alignment horizontal="left" vertical="center"/>
    </xf>
    <xf numFmtId="0" fontId="15" fillId="3" borderId="0" xfId="5" applyFont="1" applyFill="1" applyAlignment="1">
      <alignment horizontal="left" vertical="center"/>
    </xf>
    <xf numFmtId="0" fontId="15" fillId="3" borderId="0" xfId="5" applyFont="1" applyFill="1" applyAlignment="1">
      <alignment horizontal="left" wrapText="1"/>
    </xf>
    <xf numFmtId="0" fontId="0" fillId="3" borderId="0" xfId="0" applyFill="1"/>
    <xf numFmtId="0" fontId="0" fillId="3" borderId="14" xfId="0" applyFill="1" applyBorder="1"/>
    <xf numFmtId="0" fontId="15" fillId="8" borderId="0" xfId="5" applyFont="1" applyFill="1" applyAlignment="1">
      <alignment horizontal="left" vertical="center"/>
    </xf>
    <xf numFmtId="0" fontId="15" fillId="8" borderId="0" xfId="5" applyFont="1" applyFill="1" applyAlignment="1">
      <alignment horizontal="left" wrapText="1"/>
    </xf>
    <xf numFmtId="0" fontId="15" fillId="8" borderId="0" xfId="5" applyFont="1" applyFill="1" applyAlignment="1">
      <alignment horizontal="left"/>
    </xf>
    <xf numFmtId="0" fontId="19" fillId="8" borderId="15" xfId="5" applyFont="1" applyFill="1" applyBorder="1" applyAlignment="1">
      <alignment horizontal="left" vertical="center"/>
    </xf>
    <xf numFmtId="0" fontId="15" fillId="8" borderId="15" xfId="5" applyFont="1" applyFill="1" applyBorder="1" applyAlignment="1">
      <alignment horizontal="left"/>
    </xf>
    <xf numFmtId="0" fontId="8" fillId="8" borderId="15" xfId="0" applyFont="1" applyFill="1" applyBorder="1" applyAlignment="1">
      <alignment horizontal="left" vertical="center"/>
    </xf>
    <xf numFmtId="0" fontId="6" fillId="8" borderId="15" xfId="2" applyFill="1" applyBorder="1" applyAlignment="1">
      <alignment wrapText="1"/>
    </xf>
    <xf numFmtId="0" fontId="8" fillId="8" borderId="0" xfId="0" applyFont="1" applyFill="1" applyAlignment="1">
      <alignment horizontal="left" vertical="center"/>
    </xf>
    <xf numFmtId="0" fontId="15" fillId="3" borderId="14" xfId="5" applyFont="1" applyFill="1" applyBorder="1" applyAlignment="1">
      <alignment horizontal="left"/>
    </xf>
    <xf numFmtId="0" fontId="15" fillId="8" borderId="13" xfId="5" applyFont="1" applyFill="1" applyBorder="1" applyAlignment="1">
      <alignment horizontal="left" vertical="center"/>
    </xf>
    <xf numFmtId="0" fontId="21" fillId="8" borderId="13" xfId="0" applyFont="1" applyFill="1" applyBorder="1" applyAlignment="1">
      <alignment horizontal="left" vertical="center"/>
    </xf>
    <xf numFmtId="0" fontId="21" fillId="9" borderId="15" xfId="0" applyFont="1" applyFill="1" applyBorder="1" applyAlignment="1">
      <alignment horizontal="left" vertical="center"/>
    </xf>
    <xf numFmtId="0" fontId="8" fillId="8" borderId="13" xfId="0" applyFont="1" applyFill="1" applyBorder="1" applyAlignment="1">
      <alignment horizontal="left" vertical="center"/>
    </xf>
    <xf numFmtId="0" fontId="0" fillId="0" borderId="0" xfId="0" applyAlignment="1">
      <alignment horizontal="left" vertical="center"/>
    </xf>
    <xf numFmtId="0" fontId="0" fillId="0" borderId="0" xfId="0" applyAlignment="1">
      <alignment wrapText="1"/>
    </xf>
    <xf numFmtId="0" fontId="18" fillId="8" borderId="13" xfId="0" applyFont="1" applyFill="1" applyBorder="1" applyAlignment="1">
      <alignment horizontal="left" vertical="center"/>
    </xf>
    <xf numFmtId="0" fontId="18" fillId="8" borderId="0" xfId="0" applyFont="1" applyFill="1" applyAlignment="1">
      <alignment horizontal="left" vertical="center"/>
    </xf>
    <xf numFmtId="0" fontId="0" fillId="8" borderId="0" xfId="0" applyFill="1" applyAlignment="1">
      <alignment horizontal="left"/>
    </xf>
    <xf numFmtId="0" fontId="0" fillId="8" borderId="13" xfId="0" applyFill="1" applyBorder="1" applyAlignment="1">
      <alignment horizontal="left"/>
    </xf>
    <xf numFmtId="167" fontId="0" fillId="0" borderId="0" xfId="0" applyNumberFormat="1" applyAlignment="1">
      <alignment horizontal="left"/>
    </xf>
    <xf numFmtId="0" fontId="0" fillId="8" borderId="9" xfId="0" applyFill="1" applyBorder="1" applyAlignment="1">
      <alignment vertical="center"/>
    </xf>
    <xf numFmtId="165" fontId="0" fillId="8" borderId="0" xfId="0" applyNumberFormat="1" applyFill="1" applyAlignment="1">
      <alignment horizontal="left"/>
    </xf>
    <xf numFmtId="0" fontId="0" fillId="8" borderId="16" xfId="0" applyFill="1" applyBorder="1" applyAlignment="1">
      <alignment horizontal="left" vertical="center"/>
    </xf>
    <xf numFmtId="0" fontId="0" fillId="8" borderId="17" xfId="0" applyFill="1" applyBorder="1" applyAlignment="1">
      <alignment wrapText="1"/>
    </xf>
    <xf numFmtId="0" fontId="0" fillId="8" borderId="17" xfId="0" applyFill="1" applyBorder="1"/>
    <xf numFmtId="0" fontId="0" fillId="8" borderId="18" xfId="0" applyFill="1" applyBorder="1"/>
    <xf numFmtId="0" fontId="8" fillId="8" borderId="1" xfId="0" applyFont="1" applyFill="1" applyBorder="1" applyAlignment="1">
      <alignment horizontal="left"/>
    </xf>
    <xf numFmtId="0" fontId="7" fillId="8" borderId="15" xfId="2" applyFont="1" applyFill="1" applyBorder="1" applyAlignment="1">
      <alignment wrapText="1"/>
    </xf>
    <xf numFmtId="0" fontId="17" fillId="0" borderId="6" xfId="5" applyFont="1" applyBorder="1"/>
    <xf numFmtId="0" fontId="0" fillId="0" borderId="9" xfId="0" applyBorder="1"/>
    <xf numFmtId="0" fontId="8" fillId="0" borderId="0" xfId="0" applyFont="1" applyAlignment="1">
      <alignment horizontal="right"/>
    </xf>
    <xf numFmtId="0" fontId="0" fillId="0" borderId="6" xfId="0" applyBorder="1"/>
    <xf numFmtId="0" fontId="15" fillId="3" borderId="9" xfId="5" applyFont="1" applyFill="1" applyBorder="1" applyAlignment="1">
      <alignment horizontal="left"/>
    </xf>
    <xf numFmtId="0" fontId="0" fillId="0" borderId="8" xfId="0" applyBorder="1"/>
    <xf numFmtId="0" fontId="0" fillId="0" borderId="20" xfId="0" applyBorder="1"/>
    <xf numFmtId="0" fontId="0" fillId="0" borderId="19" xfId="0" applyBorder="1"/>
    <xf numFmtId="0" fontId="23" fillId="3" borderId="0" xfId="5" applyFont="1" applyFill="1" applyAlignment="1">
      <alignment horizontal="left" vertical="center"/>
    </xf>
    <xf numFmtId="0" fontId="25" fillId="8" borderId="17" xfId="0" applyFont="1" applyFill="1" applyBorder="1" applyAlignment="1">
      <alignment horizontal="left" vertical="center"/>
    </xf>
    <xf numFmtId="0" fontId="8" fillId="8" borderId="21" xfId="0" applyFont="1" applyFill="1" applyBorder="1" applyAlignment="1">
      <alignment horizontal="left" vertical="center"/>
    </xf>
    <xf numFmtId="0" fontId="8" fillId="8" borderId="21" xfId="0" applyFont="1" applyFill="1" applyBorder="1" applyAlignment="1">
      <alignment horizontal="left" vertical="center" wrapText="1"/>
    </xf>
    <xf numFmtId="0" fontId="27" fillId="0" borderId="0" xfId="0" applyFont="1"/>
    <xf numFmtId="0" fontId="15" fillId="0" borderId="9" xfId="5" applyFont="1" applyBorder="1" applyAlignment="1">
      <alignment horizontal="left"/>
    </xf>
    <xf numFmtId="0" fontId="30" fillId="0" borderId="0" xfId="0" applyFont="1"/>
    <xf numFmtId="0" fontId="0" fillId="3" borderId="9" xfId="0" applyFill="1" applyBorder="1"/>
    <xf numFmtId="174" fontId="7" fillId="0" borderId="1" xfId="0" applyNumberFormat="1" applyFont="1" applyBorder="1"/>
    <xf numFmtId="0" fontId="0" fillId="0" borderId="14" xfId="0" applyBorder="1"/>
    <xf numFmtId="166" fontId="22" fillId="10" borderId="15" xfId="0" applyNumberFormat="1" applyFont="1" applyFill="1" applyBorder="1" applyAlignment="1">
      <alignment horizontal="left" wrapText="1"/>
    </xf>
    <xf numFmtId="0" fontId="10" fillId="2" borderId="4" xfId="0" applyFont="1" applyFill="1" applyBorder="1"/>
    <xf numFmtId="0" fontId="31" fillId="4" borderId="2" xfId="0" applyFont="1" applyFill="1" applyBorder="1" applyAlignment="1">
      <alignment horizontal="left"/>
    </xf>
    <xf numFmtId="0" fontId="39" fillId="11" borderId="6" xfId="0" applyFont="1" applyFill="1" applyBorder="1" applyAlignment="1">
      <alignment horizontal="left" vertical="center"/>
    </xf>
    <xf numFmtId="0" fontId="35" fillId="0" borderId="6" xfId="0" applyFont="1" applyBorder="1" applyAlignment="1">
      <alignment horizontal="left"/>
    </xf>
    <xf numFmtId="0" fontId="20" fillId="3" borderId="9" xfId="5" applyFont="1" applyFill="1" applyBorder="1" applyAlignment="1">
      <alignment horizontal="left"/>
    </xf>
    <xf numFmtId="0" fontId="43" fillId="0" borderId="0" xfId="0" applyFont="1"/>
    <xf numFmtId="174" fontId="29" fillId="2" borderId="1" xfId="0" applyNumberFormat="1" applyFont="1" applyFill="1" applyBorder="1" applyAlignment="1">
      <alignment horizontal="center" vertical="center"/>
    </xf>
    <xf numFmtId="174" fontId="7" fillId="0" borderId="1" xfId="0" applyNumberFormat="1" applyFont="1" applyBorder="1" applyAlignment="1">
      <alignment horizontal="center"/>
    </xf>
    <xf numFmtId="0" fontId="0" fillId="6" borderId="5" xfId="0" applyFill="1" applyBorder="1" applyAlignment="1">
      <alignment vertical="center"/>
    </xf>
    <xf numFmtId="0" fontId="0" fillId="6" borderId="1" xfId="0" applyFill="1" applyBorder="1" applyAlignment="1">
      <alignment vertical="center"/>
    </xf>
    <xf numFmtId="0" fontId="34" fillId="4" borderId="1" xfId="0" applyFont="1" applyFill="1" applyBorder="1" applyAlignment="1">
      <alignment horizontal="center"/>
    </xf>
    <xf numFmtId="0" fontId="33" fillId="0" borderId="1" xfId="0" applyFont="1" applyBorder="1"/>
    <xf numFmtId="3" fontId="36" fillId="0" borderId="1" xfId="0" applyNumberFormat="1" applyFont="1" applyBorder="1" applyAlignment="1">
      <alignment horizontal="center"/>
    </xf>
    <xf numFmtId="9" fontId="36" fillId="0" borderId="1" xfId="0" applyNumberFormat="1" applyFont="1" applyBorder="1" applyAlignment="1">
      <alignment horizontal="center"/>
    </xf>
    <xf numFmtId="0" fontId="8" fillId="4" borderId="1" xfId="0" applyFont="1" applyFill="1" applyBorder="1" applyAlignment="1">
      <alignment horizontal="center"/>
    </xf>
    <xf numFmtId="9" fontId="36" fillId="0" borderId="1" xfId="0" applyNumberFormat="1" applyFont="1" applyBorder="1" applyAlignment="1">
      <alignment horizontal="left"/>
    </xf>
    <xf numFmtId="166" fontId="32" fillId="0" borderId="23" xfId="0" applyNumberFormat="1" applyFont="1" applyBorder="1" applyAlignment="1">
      <alignment vertical="center"/>
    </xf>
    <xf numFmtId="0" fontId="0" fillId="3" borderId="19" xfId="0" applyFill="1" applyBorder="1"/>
    <xf numFmtId="0" fontId="34" fillId="0" borderId="0" xfId="0" applyFont="1"/>
    <xf numFmtId="9" fontId="0" fillId="0" borderId="0" xfId="0" applyNumberFormat="1"/>
    <xf numFmtId="166" fontId="45" fillId="0" borderId="0" xfId="0" applyNumberFormat="1" applyFont="1"/>
    <xf numFmtId="0" fontId="0" fillId="3" borderId="24" xfId="0" applyFill="1" applyBorder="1"/>
    <xf numFmtId="0" fontId="25" fillId="0" borderId="1" xfId="0" applyFont="1" applyBorder="1" applyAlignment="1">
      <alignment vertical="center"/>
    </xf>
    <xf numFmtId="167" fontId="25" fillId="0" borderId="1" xfId="0" applyNumberFormat="1" applyFont="1" applyBorder="1" applyAlignment="1">
      <alignment vertical="center"/>
    </xf>
    <xf numFmtId="0" fontId="41" fillId="8" borderId="15" xfId="2" applyFont="1" applyFill="1" applyBorder="1" applyAlignment="1">
      <alignment wrapText="1"/>
    </xf>
    <xf numFmtId="0" fontId="41" fillId="8" borderId="15" xfId="2" applyFont="1" applyFill="1" applyBorder="1"/>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9" fontId="7" fillId="0" borderId="9" xfId="0" applyNumberFormat="1" applyFont="1" applyBorder="1"/>
    <xf numFmtId="0" fontId="0" fillId="8" borderId="22" xfId="0" applyFill="1" applyBorder="1"/>
    <xf numFmtId="0" fontId="0" fillId="8" borderId="26" xfId="0" applyFill="1" applyBorder="1"/>
    <xf numFmtId="0" fontId="41" fillId="0" borderId="1" xfId="2" applyFont="1" applyBorder="1" applyAlignment="1">
      <alignment horizontal="left" vertical="center"/>
    </xf>
    <xf numFmtId="0" fontId="15" fillId="3" borderId="25" xfId="5" applyFont="1" applyFill="1" applyBorder="1" applyAlignment="1">
      <alignment horizontal="left"/>
    </xf>
    <xf numFmtId="0" fontId="47" fillId="3" borderId="19" xfId="5" applyFont="1" applyFill="1" applyBorder="1" applyAlignment="1">
      <alignment horizontal="left"/>
    </xf>
    <xf numFmtId="0" fontId="15" fillId="3" borderId="19" xfId="5" applyFont="1" applyFill="1" applyBorder="1" applyAlignment="1">
      <alignment horizontal="left"/>
    </xf>
    <xf numFmtId="0" fontId="15" fillId="3" borderId="24" xfId="5" applyFont="1" applyFill="1" applyBorder="1" applyAlignment="1">
      <alignment horizontal="left"/>
    </xf>
    <xf numFmtId="0" fontId="15" fillId="3" borderId="6" xfId="5" applyFont="1" applyFill="1" applyBorder="1" applyAlignment="1">
      <alignment horizontal="left"/>
    </xf>
    <xf numFmtId="0" fontId="47" fillId="3" borderId="0" xfId="5" applyFont="1" applyFill="1" applyAlignment="1">
      <alignment horizontal="left"/>
    </xf>
    <xf numFmtId="0" fontId="48" fillId="8" borderId="1" xfId="0" applyFont="1" applyFill="1" applyBorder="1" applyAlignment="1">
      <alignment horizontal="left" vertical="center"/>
    </xf>
    <xf numFmtId="0" fontId="7" fillId="0" borderId="1" xfId="4" applyFont="1" applyFill="1" applyBorder="1" applyAlignment="1">
      <alignment horizontal="center"/>
    </xf>
    <xf numFmtId="0" fontId="50" fillId="4" borderId="1" xfId="5" applyFont="1" applyFill="1" applyBorder="1" applyAlignment="1">
      <alignment horizontal="center" vertical="center"/>
    </xf>
    <xf numFmtId="0" fontId="27" fillId="0" borderId="1" xfId="0" applyFont="1" applyBorder="1" applyAlignment="1">
      <alignment horizontal="left"/>
    </xf>
    <xf numFmtId="0" fontId="27" fillId="0" borderId="1" xfId="0" applyFont="1" applyBorder="1" applyAlignment="1">
      <alignment horizontal="left" wrapText="1"/>
    </xf>
    <xf numFmtId="173" fontId="7" fillId="3" borderId="1" xfId="0" applyNumberFormat="1" applyFont="1" applyFill="1" applyBorder="1" applyAlignment="1">
      <alignment horizontal="center"/>
    </xf>
    <xf numFmtId="9" fontId="7" fillId="12" borderId="1" xfId="0" applyNumberFormat="1" applyFont="1" applyFill="1" applyBorder="1" applyAlignment="1">
      <alignment horizontal="center"/>
    </xf>
    <xf numFmtId="0" fontId="50" fillId="4" borderId="2" xfId="5" applyFont="1" applyFill="1" applyBorder="1" applyAlignment="1">
      <alignment horizontal="center" vertical="center"/>
    </xf>
    <xf numFmtId="0" fontId="39" fillId="0" borderId="1" xfId="0" applyFont="1" applyBorder="1" applyAlignment="1">
      <alignment horizontal="left"/>
    </xf>
    <xf numFmtId="3" fontId="39" fillId="0" borderId="1" xfId="0" applyNumberFormat="1" applyFont="1" applyBorder="1" applyAlignment="1">
      <alignment horizontal="center"/>
    </xf>
    <xf numFmtId="3" fontId="7" fillId="3" borderId="1" xfId="0" applyNumberFormat="1" applyFont="1" applyFill="1" applyBorder="1" applyAlignment="1">
      <alignment horizontal="center"/>
    </xf>
    <xf numFmtId="3" fontId="7" fillId="8" borderId="1" xfId="0" applyNumberFormat="1" applyFont="1" applyFill="1" applyBorder="1" applyAlignment="1">
      <alignment horizontal="center"/>
    </xf>
    <xf numFmtId="3" fontId="7" fillId="0" borderId="1" xfId="0" applyNumberFormat="1" applyFont="1" applyBorder="1" applyAlignment="1">
      <alignment horizontal="center"/>
    </xf>
    <xf numFmtId="9" fontId="7" fillId="0" borderId="1" xfId="0" applyNumberFormat="1" applyFont="1" applyBorder="1" applyAlignment="1">
      <alignment horizontal="center"/>
    </xf>
    <xf numFmtId="0" fontId="27" fillId="7" borderId="1" xfId="0" applyFont="1" applyFill="1" applyBorder="1" applyAlignment="1">
      <alignment horizontal="left" vertical="center"/>
    </xf>
    <xf numFmtId="166" fontId="17" fillId="0" borderId="1" xfId="0" applyNumberFormat="1" applyFont="1" applyBorder="1" applyAlignment="1">
      <alignment horizontal="center" vertical="center" wrapText="1"/>
    </xf>
    <xf numFmtId="166" fontId="17" fillId="12" borderId="1" xfId="0" applyNumberFormat="1" applyFont="1" applyFill="1" applyBorder="1" applyAlignment="1">
      <alignment horizontal="center" vertical="center" wrapText="1"/>
    </xf>
    <xf numFmtId="0" fontId="6" fillId="0" borderId="1" xfId="2" applyFill="1" applyBorder="1" applyAlignment="1"/>
    <xf numFmtId="166" fontId="7" fillId="3" borderId="1" xfId="0" applyNumberFormat="1" applyFont="1" applyFill="1" applyBorder="1" applyAlignment="1">
      <alignment horizontal="center" vertical="center" wrapText="1"/>
    </xf>
    <xf numFmtId="0" fontId="7" fillId="3" borderId="1" xfId="5" applyFont="1" applyFill="1" applyBorder="1" applyAlignment="1">
      <alignment horizontal="center" vertical="center" wrapText="1"/>
    </xf>
    <xf numFmtId="176" fontId="7" fillId="3" borderId="1" xfId="0" applyNumberFormat="1" applyFont="1" applyFill="1" applyBorder="1" applyAlignment="1">
      <alignment horizontal="center"/>
    </xf>
    <xf numFmtId="0" fontId="35" fillId="0" borderId="0" xfId="0" applyFont="1" applyAlignment="1">
      <alignment horizontal="left"/>
    </xf>
    <xf numFmtId="0" fontId="51" fillId="4" borderId="1" xfId="0" applyFont="1" applyFill="1" applyBorder="1" applyAlignment="1">
      <alignment horizontal="center" vertical="center"/>
    </xf>
    <xf numFmtId="0" fontId="7" fillId="0" borderId="1" xfId="0" applyFont="1" applyBorder="1" applyAlignment="1">
      <alignment horizontal="left"/>
    </xf>
    <xf numFmtId="0" fontId="16" fillId="0" borderId="0" xfId="5" applyFont="1"/>
    <xf numFmtId="169" fontId="16" fillId="0" borderId="0" xfId="5" applyNumberFormat="1" applyFont="1" applyAlignment="1">
      <alignment horizontal="center"/>
    </xf>
    <xf numFmtId="0" fontId="37" fillId="0" borderId="0" xfId="0" applyFont="1"/>
    <xf numFmtId="0" fontId="33" fillId="0" borderId="0" xfId="0" applyFont="1"/>
    <xf numFmtId="0" fontId="35" fillId="11" borderId="0" xfId="5" applyFont="1" applyFill="1" applyAlignment="1">
      <alignment horizontal="left"/>
    </xf>
    <xf numFmtId="0" fontId="35" fillId="11" borderId="0" xfId="0" applyFont="1" applyFill="1" applyAlignment="1">
      <alignment horizontal="left"/>
    </xf>
    <xf numFmtId="0" fontId="35" fillId="11" borderId="9" xfId="0" applyFont="1" applyFill="1" applyBorder="1" applyAlignment="1">
      <alignment horizontal="left"/>
    </xf>
    <xf numFmtId="0" fontId="35" fillId="0" borderId="0" xfId="5" applyFont="1" applyAlignment="1">
      <alignment horizontal="left"/>
    </xf>
    <xf numFmtId="0" fontId="35" fillId="0" borderId="9" xfId="0" applyFont="1" applyBorder="1" applyAlignment="1">
      <alignment horizontal="left"/>
    </xf>
    <xf numFmtId="0" fontId="39" fillId="0" borderId="0" xfId="0" applyFont="1" applyAlignment="1">
      <alignment horizontal="left"/>
    </xf>
    <xf numFmtId="0" fontId="39" fillId="0" borderId="9" xfId="0" applyFont="1" applyBorder="1" applyAlignment="1">
      <alignment horizontal="left"/>
    </xf>
    <xf numFmtId="0" fontId="36" fillId="0" borderId="0" xfId="5" applyFont="1" applyAlignment="1">
      <alignment horizontal="left"/>
    </xf>
    <xf numFmtId="0" fontId="36" fillId="0" borderId="0" xfId="0" applyFont="1"/>
    <xf numFmtId="0" fontId="36" fillId="0" borderId="9" xfId="0" applyFont="1" applyBorder="1"/>
    <xf numFmtId="0" fontId="15" fillId="0" borderId="0" xfId="5" applyFont="1" applyAlignment="1">
      <alignment horizontal="left"/>
    </xf>
    <xf numFmtId="0" fontId="47" fillId="0" borderId="0" xfId="5" applyFont="1" applyAlignment="1">
      <alignment horizontal="left"/>
    </xf>
    <xf numFmtId="0" fontId="35" fillId="0" borderId="0" xfId="0" applyFont="1" applyAlignment="1">
      <alignment horizontal="left" vertical="center" wrapText="1"/>
    </xf>
    <xf numFmtId="0" fontId="39" fillId="0" borderId="0" xfId="0" applyFont="1" applyAlignment="1">
      <alignment horizontal="left" vertical="center" wrapText="1"/>
    </xf>
    <xf numFmtId="0" fontId="40" fillId="0" borderId="8" xfId="0" applyFont="1" applyBorder="1"/>
    <xf numFmtId="0" fontId="39" fillId="0" borderId="0" xfId="0" applyFont="1" applyAlignment="1">
      <alignment horizontal="left" vertical="center"/>
    </xf>
    <xf numFmtId="169" fontId="35" fillId="11" borderId="0" xfId="5" applyNumberFormat="1" applyFont="1" applyFill="1" applyAlignment="1">
      <alignment horizontal="left"/>
    </xf>
    <xf numFmtId="0" fontId="52" fillId="3" borderId="0" xfId="5" applyFont="1" applyFill="1" applyAlignment="1">
      <alignment horizontal="left"/>
    </xf>
    <xf numFmtId="0" fontId="9" fillId="0" borderId="8" xfId="0" applyFont="1" applyBorder="1"/>
    <xf numFmtId="0" fontId="15" fillId="0" borderId="8" xfId="5" applyFont="1" applyBorder="1" applyAlignment="1">
      <alignment horizontal="left"/>
    </xf>
    <xf numFmtId="0" fontId="29" fillId="4" borderId="1" xfId="0" applyFont="1" applyFill="1" applyBorder="1" applyAlignment="1">
      <alignment horizontal="center"/>
    </xf>
    <xf numFmtId="0" fontId="29" fillId="4" borderId="1" xfId="0" applyFont="1" applyFill="1" applyBorder="1" applyAlignment="1">
      <alignment horizontal="left"/>
    </xf>
    <xf numFmtId="0" fontId="0" fillId="0" borderId="22" xfId="0" applyBorder="1"/>
    <xf numFmtId="0" fontId="29" fillId="0" borderId="1" xfId="0" applyFont="1" applyBorder="1" applyAlignment="1">
      <alignment vertical="center"/>
    </xf>
    <xf numFmtId="165" fontId="29" fillId="0" borderId="1" xfId="0" applyNumberFormat="1" applyFont="1" applyBorder="1" applyAlignment="1">
      <alignment vertical="center"/>
    </xf>
    <xf numFmtId="0" fontId="0" fillId="0" borderId="19" xfId="0" applyBorder="1" applyAlignment="1">
      <alignment horizontal="left"/>
    </xf>
    <xf numFmtId="167" fontId="29" fillId="0" borderId="1" xfId="0" applyNumberFormat="1" applyFont="1" applyBorder="1" applyAlignment="1">
      <alignment vertical="center" wrapText="1"/>
    </xf>
    <xf numFmtId="9" fontId="29" fillId="0" borderId="1" xfId="0" applyNumberFormat="1" applyFont="1" applyBorder="1" applyAlignment="1">
      <alignment vertical="center" wrapText="1"/>
    </xf>
    <xf numFmtId="0" fontId="52" fillId="0" borderId="1" xfId="0" applyFont="1" applyBorder="1" applyAlignment="1">
      <alignment vertical="center"/>
    </xf>
    <xf numFmtId="166" fontId="52" fillId="8" borderId="1" xfId="0" applyNumberFormat="1" applyFont="1" applyFill="1" applyBorder="1" applyAlignment="1">
      <alignment vertical="center" wrapText="1"/>
    </xf>
    <xf numFmtId="169" fontId="42" fillId="3" borderId="0" xfId="5" applyNumberFormat="1" applyFont="1" applyFill="1" applyAlignment="1">
      <alignment horizontal="center" wrapText="1"/>
    </xf>
    <xf numFmtId="0" fontId="42" fillId="3" borderId="0" xfId="5" applyFont="1" applyFill="1"/>
    <xf numFmtId="169" fontId="42" fillId="3" borderId="0" xfId="5" applyNumberFormat="1" applyFont="1" applyFill="1" applyAlignment="1">
      <alignment horizontal="center"/>
    </xf>
    <xf numFmtId="0" fontId="20" fillId="3" borderId="0" xfId="5" applyFont="1" applyFill="1" applyAlignment="1">
      <alignment horizontal="left"/>
    </xf>
    <xf numFmtId="174" fontId="0" fillId="0" borderId="0" xfId="0" applyNumberFormat="1"/>
    <xf numFmtId="173" fontId="0" fillId="0" borderId="0" xfId="0" applyNumberFormat="1"/>
    <xf numFmtId="174" fontId="0" fillId="3" borderId="0" xfId="0" applyNumberFormat="1" applyFill="1"/>
    <xf numFmtId="169" fontId="16" fillId="3" borderId="0" xfId="5" applyNumberFormat="1" applyFont="1" applyFill="1" applyAlignment="1">
      <alignment horizontal="center" wrapText="1"/>
    </xf>
    <xf numFmtId="0" fontId="16" fillId="3" borderId="0" xfId="5" applyFont="1" applyFill="1"/>
    <xf numFmtId="169" fontId="16" fillId="3" borderId="0" xfId="5" applyNumberFormat="1" applyFont="1" applyFill="1" applyAlignment="1">
      <alignment horizontal="center"/>
    </xf>
    <xf numFmtId="169" fontId="16" fillId="0" borderId="0" xfId="5" applyNumberFormat="1" applyFont="1" applyAlignment="1">
      <alignment horizontal="center" wrapText="1"/>
    </xf>
    <xf numFmtId="167" fontId="0" fillId="0" borderId="0" xfId="0" applyNumberFormat="1"/>
    <xf numFmtId="5" fontId="11" fillId="0" borderId="0" xfId="0" applyNumberFormat="1" applyFont="1" applyAlignment="1">
      <alignment horizontal="left" vertical="center"/>
    </xf>
    <xf numFmtId="5" fontId="0" fillId="0" borderId="0" xfId="0" applyNumberFormat="1"/>
    <xf numFmtId="165" fontId="0" fillId="0" borderId="0" xfId="0" applyNumberFormat="1"/>
    <xf numFmtId="0" fontId="0" fillId="0" borderId="0" xfId="0" applyAlignment="1">
      <alignment horizontal="left"/>
    </xf>
    <xf numFmtId="0" fontId="11" fillId="0" borderId="0" xfId="0" applyFont="1" applyAlignment="1">
      <alignment horizontal="left" vertical="center"/>
    </xf>
    <xf numFmtId="168" fontId="0" fillId="0" borderId="0" xfId="0" applyNumberFormat="1"/>
    <xf numFmtId="175" fontId="12" fillId="0" borderId="0" xfId="0" applyNumberFormat="1" applyFont="1" applyAlignment="1">
      <alignment vertical="center" wrapText="1"/>
    </xf>
    <xf numFmtId="0" fontId="44" fillId="3" borderId="19" xfId="0" applyFont="1" applyFill="1" applyBorder="1"/>
    <xf numFmtId="0" fontId="38" fillId="0" borderId="0" xfId="0" applyFont="1"/>
    <xf numFmtId="0" fontId="53" fillId="3" borderId="0" xfId="0" applyFont="1" applyFill="1" applyAlignment="1">
      <alignment horizontal="left" vertical="center" wrapText="1"/>
    </xf>
    <xf numFmtId="0" fontId="11" fillId="3" borderId="0" xfId="0" applyFont="1" applyFill="1" applyAlignment="1">
      <alignment horizontal="left" vertical="center"/>
    </xf>
    <xf numFmtId="0" fontId="52" fillId="3" borderId="0" xfId="5" applyFont="1" applyFill="1" applyAlignment="1">
      <alignment horizontal="left" vertical="center"/>
    </xf>
    <xf numFmtId="9" fontId="7" fillId="3" borderId="1" xfId="0" applyNumberFormat="1" applyFont="1" applyFill="1" applyBorder="1" applyAlignment="1">
      <alignment horizontal="center"/>
    </xf>
    <xf numFmtId="0" fontId="3" fillId="3" borderId="0" xfId="0" applyFont="1" applyFill="1"/>
    <xf numFmtId="0" fontId="3" fillId="8" borderId="13" xfId="0" applyFont="1" applyFill="1" applyBorder="1"/>
    <xf numFmtId="0" fontId="3" fillId="8" borderId="0" xfId="0" applyFont="1" applyFill="1"/>
    <xf numFmtId="0" fontId="3" fillId="8" borderId="15" xfId="0" applyFont="1" applyFill="1" applyBorder="1"/>
    <xf numFmtId="0" fontId="3" fillId="8" borderId="15" xfId="0" applyFont="1" applyFill="1" applyBorder="1" applyAlignment="1">
      <alignment wrapText="1"/>
    </xf>
    <xf numFmtId="0" fontId="3" fillId="8" borderId="15" xfId="0" quotePrefix="1" applyFont="1" applyFill="1" applyBorder="1" applyAlignment="1">
      <alignment wrapText="1"/>
    </xf>
    <xf numFmtId="170" fontId="3" fillId="8" borderId="15" xfId="0" applyNumberFormat="1" applyFont="1" applyFill="1" applyBorder="1" applyAlignment="1">
      <alignment horizontal="left" wrapText="1"/>
    </xf>
    <xf numFmtId="171" fontId="3" fillId="8" borderId="1" xfId="1" applyNumberFormat="1" applyFont="1" applyFill="1" applyBorder="1" applyAlignment="1">
      <alignment horizontal="left" vertical="center"/>
    </xf>
    <xf numFmtId="17" fontId="3" fillId="8" borderId="15" xfId="0" applyNumberFormat="1" applyFont="1" applyFill="1" applyBorder="1" applyAlignment="1">
      <alignment horizontal="left" wrapText="1"/>
    </xf>
    <xf numFmtId="0" fontId="3" fillId="8" borderId="0" xfId="0" applyFont="1" applyFill="1" applyAlignment="1">
      <alignment wrapText="1"/>
    </xf>
    <xf numFmtId="0" fontId="3" fillId="8" borderId="15" xfId="0" applyFont="1" applyFill="1" applyBorder="1" applyAlignment="1">
      <alignment horizontal="left" vertical="center"/>
    </xf>
    <xf numFmtId="0" fontId="3" fillId="8" borderId="0" xfId="0" applyFont="1" applyFill="1" applyAlignment="1">
      <alignment horizontal="left" vertical="center"/>
    </xf>
    <xf numFmtId="0" fontId="3" fillId="8" borderId="1" xfId="0" applyFont="1" applyFill="1" applyBorder="1" applyAlignment="1">
      <alignment vertical="center" wrapText="1"/>
    </xf>
    <xf numFmtId="166" fontId="3" fillId="8" borderId="1" xfId="0" applyNumberFormat="1" applyFont="1" applyFill="1" applyBorder="1" applyAlignment="1">
      <alignment horizontal="left" wrapText="1"/>
    </xf>
    <xf numFmtId="0" fontId="3" fillId="8" borderId="13" xfId="0" applyFont="1" applyFill="1" applyBorder="1" applyAlignment="1">
      <alignment horizontal="left" vertical="center"/>
    </xf>
    <xf numFmtId="0" fontId="3" fillId="0" borderId="1" xfId="0" applyFont="1" applyBorder="1" applyAlignment="1">
      <alignment wrapText="1"/>
    </xf>
    <xf numFmtId="9" fontId="3" fillId="3" borderId="1" xfId="3" applyFont="1" applyFill="1" applyBorder="1" applyAlignment="1">
      <alignment horizontal="center"/>
    </xf>
    <xf numFmtId="0" fontId="3" fillId="0" borderId="0" xfId="0" applyFont="1" applyAlignment="1">
      <alignment wrapText="1"/>
    </xf>
    <xf numFmtId="0" fontId="3" fillId="0" borderId="0" xfId="0" applyFont="1"/>
    <xf numFmtId="0" fontId="3" fillId="0" borderId="1" xfId="0" applyFont="1" applyBorder="1"/>
    <xf numFmtId="0" fontId="3" fillId="0" borderId="9" xfId="0" applyFont="1" applyBorder="1"/>
    <xf numFmtId="174" fontId="3" fillId="12" borderId="1" xfId="0" applyNumberFormat="1" applyFont="1" applyFill="1" applyBorder="1" applyAlignment="1">
      <alignment horizontal="center" vertical="center"/>
    </xf>
    <xf numFmtId="174" fontId="3" fillId="0" borderId="1" xfId="0" applyNumberFormat="1" applyFont="1" applyBorder="1" applyAlignment="1">
      <alignment horizontal="center" vertical="center"/>
    </xf>
    <xf numFmtId="174" fontId="3" fillId="0" borderId="2" xfId="0" applyNumberFormat="1" applyFont="1" applyBorder="1" applyAlignment="1">
      <alignment horizontal="center" vertical="center"/>
    </xf>
    <xf numFmtId="0" fontId="3" fillId="0" borderId="1" xfId="0" applyFont="1" applyBorder="1" applyAlignment="1">
      <alignment horizontal="center" vertical="center"/>
    </xf>
    <xf numFmtId="3" fontId="3" fillId="6" borderId="1" xfId="0" applyNumberFormat="1" applyFont="1" applyFill="1" applyBorder="1" applyAlignment="1">
      <alignment horizontal="center"/>
    </xf>
    <xf numFmtId="3" fontId="3" fillId="0" borderId="1" xfId="0" applyNumberFormat="1" applyFont="1" applyBorder="1" applyAlignment="1">
      <alignment horizontal="center"/>
    </xf>
    <xf numFmtId="0" fontId="3" fillId="0" borderId="19" xfId="0" applyFont="1" applyBorder="1"/>
    <xf numFmtId="3" fontId="3" fillId="0" borderId="0" xfId="0" applyNumberFormat="1" applyFont="1"/>
    <xf numFmtId="173" fontId="3" fillId="0" borderId="1" xfId="0" applyNumberFormat="1" applyFont="1" applyBorder="1" applyAlignment="1">
      <alignment horizontal="center"/>
    </xf>
    <xf numFmtId="3" fontId="3" fillId="6" borderId="1" xfId="0" applyNumberFormat="1" applyFont="1" applyFill="1" applyBorder="1" applyAlignment="1">
      <alignment horizontal="center" vertical="center"/>
    </xf>
    <xf numFmtId="5" fontId="3" fillId="0" borderId="0" xfId="0" applyNumberFormat="1" applyFont="1" applyAlignment="1">
      <alignment horizontal="left" vertical="center"/>
    </xf>
    <xf numFmtId="164" fontId="3" fillId="0" borderId="8" xfId="0" applyNumberFormat="1" applyFont="1" applyBorder="1"/>
    <xf numFmtId="0" fontId="3" fillId="0" borderId="20" xfId="0" applyFont="1" applyBorder="1"/>
    <xf numFmtId="2" fontId="3" fillId="0" borderId="0" xfId="0" applyNumberFormat="1" applyFont="1"/>
    <xf numFmtId="9" fontId="3" fillId="0" borderId="0" xfId="0" applyNumberFormat="1" applyFont="1"/>
    <xf numFmtId="0" fontId="3" fillId="0" borderId="6" xfId="0" applyFont="1" applyBorder="1"/>
    <xf numFmtId="9" fontId="3" fillId="0" borderId="6" xfId="0" applyNumberFormat="1" applyFont="1" applyBorder="1"/>
    <xf numFmtId="9" fontId="3" fillId="0" borderId="6" xfId="0" applyNumberFormat="1" applyFont="1" applyBorder="1" applyAlignment="1">
      <alignment horizontal="right"/>
    </xf>
    <xf numFmtId="3" fontId="3" fillId="0" borderId="8" xfId="0" applyNumberFormat="1" applyFont="1" applyBorder="1" applyAlignment="1">
      <alignment horizontal="center"/>
    </xf>
    <xf numFmtId="3" fontId="3" fillId="10" borderId="8" xfId="0" applyNumberFormat="1" applyFont="1" applyFill="1" applyBorder="1" applyAlignment="1">
      <alignment horizontal="center"/>
    </xf>
    <xf numFmtId="3" fontId="3" fillId="0" borderId="20" xfId="0" applyNumberFormat="1" applyFont="1" applyBorder="1" applyAlignment="1">
      <alignment horizontal="center"/>
    </xf>
    <xf numFmtId="166" fontId="3" fillId="0" borderId="0" xfId="0" applyNumberFormat="1" applyFont="1" applyAlignment="1">
      <alignment horizontal="center"/>
    </xf>
    <xf numFmtId="166" fontId="3" fillId="0" borderId="9" xfId="0" applyNumberFormat="1" applyFont="1" applyBorder="1" applyAlignment="1">
      <alignment horizontal="center"/>
    </xf>
    <xf numFmtId="9" fontId="3" fillId="10" borderId="9" xfId="0" applyNumberFormat="1" applyFont="1" applyFill="1" applyBorder="1"/>
    <xf numFmtId="166" fontId="3" fillId="10" borderId="0" xfId="0" applyNumberFormat="1" applyFont="1" applyFill="1" applyAlignment="1">
      <alignment horizontal="center"/>
    </xf>
    <xf numFmtId="9" fontId="3" fillId="0" borderId="9" xfId="0" applyNumberFormat="1" applyFont="1" applyBorder="1"/>
    <xf numFmtId="0" fontId="3" fillId="0" borderId="9" xfId="0" applyFont="1" applyBorder="1" applyAlignment="1">
      <alignment vertical="center" wrapText="1"/>
    </xf>
    <xf numFmtId="0" fontId="3" fillId="0" borderId="6" xfId="0" applyFont="1" applyBorder="1" applyAlignment="1">
      <alignment horizontal="center" vertical="center"/>
    </xf>
    <xf numFmtId="9" fontId="3" fillId="0" borderId="24" xfId="0" applyNumberFormat="1" applyFont="1" applyBorder="1" applyAlignment="1">
      <alignment horizontal="center" vertical="center"/>
    </xf>
    <xf numFmtId="9" fontId="3" fillId="0" borderId="9" xfId="0" applyNumberFormat="1" applyFont="1" applyBorder="1" applyAlignment="1">
      <alignment horizontal="center" vertical="center"/>
    </xf>
    <xf numFmtId="9" fontId="3" fillId="10" borderId="9" xfId="0" applyNumberFormat="1" applyFont="1" applyFill="1" applyBorder="1" applyAlignment="1">
      <alignment horizontal="center" vertical="center"/>
    </xf>
    <xf numFmtId="9" fontId="3" fillId="0" borderId="20" xfId="0" applyNumberFormat="1" applyFont="1" applyBorder="1" applyAlignment="1">
      <alignment horizontal="center" vertical="center"/>
    </xf>
    <xf numFmtId="166" fontId="3" fillId="0" borderId="8" xfId="0" applyNumberFormat="1" applyFont="1" applyBorder="1" applyAlignment="1">
      <alignment horizontal="center"/>
    </xf>
    <xf numFmtId="0" fontId="3" fillId="0" borderId="1" xfId="0" applyFont="1" applyBorder="1" applyAlignment="1">
      <alignment vertical="center" wrapText="1"/>
    </xf>
    <xf numFmtId="172"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horizontal="left"/>
    </xf>
    <xf numFmtId="173" fontId="3" fillId="0" borderId="1" xfId="1" applyNumberFormat="1" applyFont="1" applyBorder="1" applyAlignment="1">
      <alignment horizontal="center"/>
    </xf>
    <xf numFmtId="0" fontId="3" fillId="0" borderId="1" xfId="0" applyFont="1" applyBorder="1" applyAlignment="1">
      <alignment vertical="center"/>
    </xf>
    <xf numFmtId="0" fontId="3" fillId="0" borderId="1" xfId="0" applyFont="1" applyBorder="1" applyAlignment="1">
      <alignment horizontal="left" vertical="center"/>
    </xf>
    <xf numFmtId="0" fontId="2" fillId="0" borderId="0" xfId="0" applyFont="1"/>
    <xf numFmtId="0" fontId="8" fillId="0" borderId="1" xfId="0" applyFont="1" applyBorder="1"/>
    <xf numFmtId="166" fontId="8" fillId="0" borderId="1" xfId="0" applyNumberFormat="1" applyFont="1" applyBorder="1" applyAlignment="1">
      <alignment horizontal="center"/>
    </xf>
    <xf numFmtId="0" fontId="3" fillId="0" borderId="0" xfId="0" applyFont="1" applyAlignment="1">
      <alignment horizontal="right" vertical="center" textRotation="90" wrapText="1"/>
    </xf>
    <xf numFmtId="0" fontId="3"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27" fillId="0" borderId="0" xfId="0" applyFont="1" applyAlignment="1">
      <alignment horizontal="left" vertical="top" wrapText="1"/>
    </xf>
    <xf numFmtId="0" fontId="0" fillId="8" borderId="9" xfId="0" applyFill="1" applyBorder="1" applyAlignment="1">
      <alignment horizontal="left"/>
    </xf>
    <xf numFmtId="0" fontId="26" fillId="9" borderId="0" xfId="5" applyFont="1" applyFill="1" applyAlignment="1">
      <alignment horizontal="center" vertical="center"/>
    </xf>
    <xf numFmtId="0" fontId="20" fillId="9" borderId="0" xfId="5" applyFont="1" applyFill="1" applyAlignment="1">
      <alignment horizontal="center" vertical="center"/>
    </xf>
    <xf numFmtId="0" fontId="3" fillId="8" borderId="4" xfId="0" applyFont="1" applyFill="1" applyBorder="1" applyAlignment="1">
      <alignment horizontal="left" vertical="center" wrapText="1"/>
    </xf>
    <xf numFmtId="0" fontId="3" fillId="8" borderId="2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23" xfId="0" applyFont="1" applyFill="1" applyBorder="1" applyAlignment="1">
      <alignment horizontal="left" vertical="center" wrapText="1"/>
    </xf>
    <xf numFmtId="0" fontId="49" fillId="8" borderId="0" xfId="4" applyFont="1" applyFill="1" applyBorder="1" applyAlignment="1">
      <alignment horizontal="center" vertical="center"/>
    </xf>
    <xf numFmtId="0" fontId="7" fillId="3" borderId="0" xfId="4" applyFont="1" applyFill="1" applyBorder="1" applyAlignment="1">
      <alignment horizontal="center" vertical="center"/>
    </xf>
    <xf numFmtId="166" fontId="3" fillId="12" borderId="0" xfId="0" quotePrefix="1" applyNumberFormat="1" applyFont="1" applyFill="1" applyAlignment="1">
      <alignment horizontal="center" vertical="center"/>
    </xf>
    <xf numFmtId="0" fontId="3" fillId="0" borderId="4" xfId="0" applyFont="1" applyBorder="1" applyAlignment="1">
      <alignment horizontal="left"/>
    </xf>
    <xf numFmtId="0" fontId="3" fillId="0" borderId="5" xfId="0" applyFont="1" applyBorder="1" applyAlignment="1">
      <alignment horizontal="left"/>
    </xf>
    <xf numFmtId="0" fontId="0" fillId="0" borderId="4" xfId="0" applyBorder="1" applyAlignment="1">
      <alignment horizontal="center"/>
    </xf>
    <xf numFmtId="0" fontId="0" fillId="0" borderId="5" xfId="0" applyBorder="1" applyAlignment="1">
      <alignment horizontal="center"/>
    </xf>
  </cellXfs>
  <cellStyles count="6">
    <cellStyle name="Comma" xfId="1" builtinId="3"/>
    <cellStyle name="Hyperlink" xfId="2" xr:uid="{00000000-000B-0000-0000-000008000000}"/>
    <cellStyle name="Input" xfId="4" builtinId="20"/>
    <cellStyle name="Normal" xfId="0" builtinId="0"/>
    <cellStyle name="Normal 3" xfId="5" xr:uid="{791409E8-066B-4291-8126-D4874143ECBF}"/>
    <cellStyle name="Percent" xfId="3" builtinId="5"/>
  </cellStyles>
  <dxfs count="16">
    <dxf>
      <font>
        <color rgb="FF9C0006"/>
      </font>
    </dxf>
    <dxf>
      <font>
        <color rgb="FF9C0006"/>
      </font>
    </dxf>
    <dxf>
      <font>
        <color rgb="FF9C0006"/>
      </font>
    </dxf>
    <dxf>
      <font>
        <color rgb="FF9C0006"/>
      </font>
    </dxf>
    <dxf>
      <font>
        <color rgb="FF9C0006"/>
      </font>
    </dxf>
    <dxf>
      <font>
        <color rgb="FFC00000"/>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BED2E1"/>
      <color rgb="FFDCA591"/>
      <color rgb="FFCDD2B4"/>
      <color rgb="FF8CA0C3"/>
      <color rgb="FF8B9FC2"/>
      <color rgb="FFBDD1E0"/>
      <color rgb="FFF0D7AA"/>
      <color rgb="FFC8A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 (in real 2021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B241-4E89-8F40-FA5F9E39D2AF}"/>
              </c:ext>
            </c:extLst>
          </c:dPt>
          <c:dPt>
            <c:idx val="1"/>
            <c:invertIfNegative val="0"/>
            <c:bubble3D val="0"/>
            <c:spPr>
              <a:solidFill>
                <a:srgbClr val="DCA591"/>
              </a:solidFill>
              <a:ln>
                <a:noFill/>
              </a:ln>
              <a:effectLst/>
            </c:spPr>
            <c:extLst>
              <c:ext xmlns:c16="http://schemas.microsoft.com/office/drawing/2014/chart" uri="{C3380CC4-5D6E-409C-BE32-E72D297353CC}">
                <c16:uniqueId val="{00000003-B241-4E89-8F40-FA5F9E39D2AF}"/>
              </c:ext>
            </c:extLst>
          </c:dPt>
          <c:dPt>
            <c:idx val="2"/>
            <c:invertIfNegative val="0"/>
            <c:bubble3D val="0"/>
            <c:spPr>
              <a:solidFill>
                <a:srgbClr val="BED2E1"/>
              </a:solidFill>
              <a:ln>
                <a:noFill/>
              </a:ln>
              <a:effectLst/>
            </c:spPr>
            <c:extLst>
              <c:ext xmlns:c16="http://schemas.microsoft.com/office/drawing/2014/chart" uri="{C3380CC4-5D6E-409C-BE32-E72D297353CC}">
                <c16:uniqueId val="{00000004-6E3E-4C09-B167-53DC6B77C6F2}"/>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Summary!$B$50:$B$52</c:f>
              <c:strCache>
                <c:ptCount val="3"/>
                <c:pt idx="0">
                  <c:v>PV per HH</c:v>
                </c:pt>
                <c:pt idx="1">
                  <c:v>Costs per HH</c:v>
                </c:pt>
                <c:pt idx="2">
                  <c:v>NPV per HH</c:v>
                </c:pt>
              </c:strCache>
            </c:strRef>
          </c:cat>
          <c:val>
            <c:numRef>
              <c:f>Summary!$C$50:$C$52</c:f>
              <c:numCache>
                <c:formatCode>_-* #,##0\ [$€-407]_-;\-* #,##0\ [$€-407]_-;_-* "-"\ [$€-407]_-;_-@_-</c:formatCode>
                <c:ptCount val="3"/>
                <c:pt idx="0">
                  <c:v>749.30889365336827</c:v>
                </c:pt>
                <c:pt idx="1">
                  <c:v>127.36613970162138</c:v>
                </c:pt>
                <c:pt idx="2">
                  <c:v>621.94275395174691</c:v>
                </c:pt>
              </c:numCache>
            </c:numRef>
          </c:val>
          <c:extLst>
            <c:ext xmlns:c16="http://schemas.microsoft.com/office/drawing/2014/chart" uri="{C3380CC4-5D6E-409C-BE32-E72D297353CC}">
              <c16:uniqueId val="{00000008-B241-4E89-8F40-FA5F9E39D2AF}"/>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Pero" panose="020F0506020203030304" pitchFamily="34" charset="0"/>
              </a:rPr>
              <a:t>Present</a:t>
            </a:r>
            <a:r>
              <a:rPr lang="en-US" b="1" baseline="0">
                <a:solidFill>
                  <a:sysClr val="windowText" lastClr="000000"/>
                </a:solidFill>
                <a:latin typeface="Pero" panose="020F0506020203030304" pitchFamily="34" charset="0"/>
              </a:rPr>
              <a:t> Value vs. Costs (in real 2021 EUR)</a:t>
            </a:r>
            <a:endParaRPr lang="en-US" b="1">
              <a:solidFill>
                <a:sysClr val="windowText" lastClr="000000"/>
              </a:solidFill>
              <a:latin typeface="Pero" panose="020F05060202030303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0A30-4B3A-9620-44F5A03BC599}"/>
              </c:ext>
            </c:extLst>
          </c:dPt>
          <c:dPt>
            <c:idx val="1"/>
            <c:invertIfNegative val="0"/>
            <c:bubble3D val="0"/>
            <c:spPr>
              <a:solidFill>
                <a:srgbClr val="DCA591"/>
              </a:solidFill>
              <a:ln>
                <a:noFill/>
              </a:ln>
              <a:effectLst/>
            </c:spPr>
            <c:extLst>
              <c:ext xmlns:c16="http://schemas.microsoft.com/office/drawing/2014/chart" uri="{C3380CC4-5D6E-409C-BE32-E72D297353CC}">
                <c16:uniqueId val="{00000002-0A30-4B3A-9620-44F5A03BC599}"/>
              </c:ext>
            </c:extLst>
          </c:dPt>
          <c:dPt>
            <c:idx val="2"/>
            <c:invertIfNegative val="0"/>
            <c:bubble3D val="0"/>
            <c:spPr>
              <a:solidFill>
                <a:srgbClr val="BED2E1"/>
              </a:solidFill>
              <a:ln>
                <a:noFill/>
              </a:ln>
              <a:effectLst/>
            </c:spPr>
            <c:extLst>
              <c:ext xmlns:c16="http://schemas.microsoft.com/office/drawing/2014/chart" uri="{C3380CC4-5D6E-409C-BE32-E72D297353CC}">
                <c16:uniqueId val="{00000003-0A30-4B3A-9620-44F5A03BC59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Summary!$F$50:$F$52</c:f>
              <c:strCache>
                <c:ptCount val="3"/>
                <c:pt idx="0">
                  <c:v>Present Value </c:v>
                </c:pt>
                <c:pt idx="1">
                  <c:v>Project Costs discounted</c:v>
                </c:pt>
                <c:pt idx="2">
                  <c:v>Net Present Value </c:v>
                </c:pt>
              </c:strCache>
            </c:strRef>
          </c:cat>
          <c:val>
            <c:numRef>
              <c:f>Summary!$G$50:$G$52</c:f>
              <c:numCache>
                <c:formatCode>#,##0\ "€"</c:formatCode>
                <c:ptCount val="3"/>
                <c:pt idx="0">
                  <c:v>20680925.464832965</c:v>
                </c:pt>
                <c:pt idx="1">
                  <c:v>2490008.0311666979</c:v>
                </c:pt>
                <c:pt idx="2">
                  <c:v>17165620.009068213</c:v>
                </c:pt>
              </c:numCache>
            </c:numRef>
          </c:val>
          <c:extLst>
            <c:ext xmlns:c16="http://schemas.microsoft.com/office/drawing/2014/chart" uri="{C3380CC4-5D6E-409C-BE32-E72D297353CC}">
              <c16:uniqueId val="{00000000-0A30-4B3A-9620-44F5A03BC599}"/>
            </c:ext>
          </c:extLst>
        </c:ser>
        <c:dLbls>
          <c:showLegendKey val="0"/>
          <c:showVal val="0"/>
          <c:showCatName val="0"/>
          <c:showSerName val="0"/>
          <c:showPercent val="0"/>
          <c:showBubbleSize val="0"/>
        </c:dLbls>
        <c:gapWidth val="219"/>
        <c:overlap val="-27"/>
        <c:axId val="967025992"/>
        <c:axId val="967027432"/>
      </c:barChart>
      <c:catAx>
        <c:axId val="967025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967027432"/>
        <c:crosses val="autoZero"/>
        <c:auto val="1"/>
        <c:lblAlgn val="ctr"/>
        <c:lblOffset val="100"/>
        <c:noMultiLvlLbl val="0"/>
      </c:catAx>
      <c:valAx>
        <c:axId val="967027432"/>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967025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a:solidFill>
                  <a:sysClr val="windowText" lastClr="000000"/>
                </a:solidFill>
                <a:latin typeface="Pero" panose="020F0506020203030304" pitchFamily="34" charset="0"/>
              </a:rPr>
              <a:t>SROI under different discount rates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047985849594888"/>
          <c:y val="0.25463189247745149"/>
          <c:w val="0.82607532545053941"/>
          <c:h val="0.62501970063022072"/>
        </c:manualLayout>
      </c:layout>
      <c:barChart>
        <c:barDir val="bar"/>
        <c:grouping val="clustered"/>
        <c:varyColors val="0"/>
        <c:ser>
          <c:idx val="0"/>
          <c:order val="0"/>
          <c:tx>
            <c:strRef>
              <c:f>'Sensitivity analysis'!$C$13</c:f>
              <c:strCache>
                <c:ptCount val="1"/>
                <c:pt idx="0">
                  <c:v>SROI</c:v>
                </c:pt>
              </c:strCache>
            </c:strRef>
          </c:tx>
          <c:spPr>
            <a:solidFill>
              <a:srgbClr val="BDD1E0"/>
            </a:solidFill>
            <a:ln>
              <a:noFill/>
            </a:ln>
            <a:effectLst/>
          </c:spPr>
          <c:invertIfNegative val="0"/>
          <c:dPt>
            <c:idx val="1"/>
            <c:invertIfNegative val="0"/>
            <c:bubble3D val="0"/>
            <c:spPr>
              <a:solidFill>
                <a:srgbClr val="8B9FC2"/>
              </a:solidFill>
              <a:ln>
                <a:noFill/>
              </a:ln>
              <a:effectLst/>
            </c:spPr>
            <c:extLst>
              <c:ext xmlns:c16="http://schemas.microsoft.com/office/drawing/2014/chart" uri="{C3380CC4-5D6E-409C-BE32-E72D297353CC}">
                <c16:uniqueId val="{00000002-2A7B-40C1-A379-37793EA0978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analysis'!$B$14:$B$17</c:f>
              <c:numCache>
                <c:formatCode>0%</c:formatCode>
                <c:ptCount val="4"/>
                <c:pt idx="0">
                  <c:v>0.15</c:v>
                </c:pt>
                <c:pt idx="1">
                  <c:v>0.1</c:v>
                </c:pt>
                <c:pt idx="2">
                  <c:v>0.05</c:v>
                </c:pt>
                <c:pt idx="3">
                  <c:v>0</c:v>
                </c:pt>
              </c:numCache>
            </c:numRef>
          </c:cat>
          <c:val>
            <c:numRef>
              <c:f>'Sensitivity analysis'!$C$14:$C$17</c:f>
              <c:numCache>
                <c:formatCode>General</c:formatCode>
                <c:ptCount val="4"/>
                <c:pt idx="0">
                  <c:v>4.9000000000000004</c:v>
                </c:pt>
                <c:pt idx="1">
                  <c:v>5.9</c:v>
                </c:pt>
                <c:pt idx="2">
                  <c:v>7.3</c:v>
                </c:pt>
                <c:pt idx="3">
                  <c:v>9.1999999999999993</c:v>
                </c:pt>
              </c:numCache>
            </c:numRef>
          </c:val>
          <c:extLst>
            <c:ext xmlns:c16="http://schemas.microsoft.com/office/drawing/2014/chart" uri="{C3380CC4-5D6E-409C-BE32-E72D297353CC}">
              <c16:uniqueId val="{00000000-2A7B-40C1-A379-37793EA09789}"/>
            </c:ext>
          </c:extLst>
        </c:ser>
        <c:dLbls>
          <c:dLblPos val="outEnd"/>
          <c:showLegendKey val="0"/>
          <c:showVal val="1"/>
          <c:showCatName val="0"/>
          <c:showSerName val="0"/>
          <c:showPercent val="0"/>
          <c:showBubbleSize val="0"/>
        </c:dLbls>
        <c:gapWidth val="182"/>
        <c:axId val="1258625608"/>
        <c:axId val="1258621648"/>
      </c:barChart>
      <c:catAx>
        <c:axId val="1258625608"/>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Discount rate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621648"/>
        <c:crosses val="autoZero"/>
        <c:auto val="1"/>
        <c:lblAlgn val="ctr"/>
        <c:lblOffset val="100"/>
        <c:noMultiLvlLbl val="0"/>
      </c:catAx>
      <c:valAx>
        <c:axId val="1258621648"/>
        <c:scaling>
          <c:orientation val="minMax"/>
        </c:scaling>
        <c:delete val="1"/>
        <c:axPos val="t"/>
        <c:title>
          <c:tx>
            <c:rich>
              <a:bodyPr rot="0" spcFirstLastPara="1" vertOverflow="ellipsis" vert="horz" wrap="square" anchor="b"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SROI</a:t>
                </a:r>
              </a:p>
            </c:rich>
          </c:tx>
          <c:layout>
            <c:manualLayout>
              <c:xMode val="edge"/>
              <c:yMode val="edge"/>
              <c:x val="0.43873212545756196"/>
              <c:y val="0.90071281368889555"/>
            </c:manualLayout>
          </c:layout>
          <c:overlay val="0"/>
          <c:spPr>
            <a:noFill/>
            <a:ln>
              <a:noFill/>
            </a:ln>
            <a:effectLst/>
          </c:spPr>
          <c:txPr>
            <a:bodyPr rot="0" spcFirstLastPara="1" vertOverflow="ellipsis" vert="horz" wrap="square" anchor="b"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1258625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solidFill>
                <a:latin typeface="Pero" panose="020F0506020203030304" pitchFamily="34" charset="0"/>
              </a:rPr>
              <a:t>SROI with different non-implementation cost shares deducted from total grant amount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071667535903731"/>
          <c:y val="0.33143563505822832"/>
          <c:w val="0.7996656617438167"/>
          <c:h val="0.51025549966164785"/>
        </c:manualLayout>
      </c:layout>
      <c:barChart>
        <c:barDir val="bar"/>
        <c:grouping val="clustered"/>
        <c:varyColors val="0"/>
        <c:ser>
          <c:idx val="1"/>
          <c:order val="0"/>
          <c:tx>
            <c:strRef>
              <c:f>'Sensitivity analysis'!$F$13</c:f>
              <c:strCache>
                <c:ptCount val="1"/>
                <c:pt idx="0">
                  <c:v>SROI</c:v>
                </c:pt>
              </c:strCache>
            </c:strRef>
          </c:tx>
          <c:spPr>
            <a:solidFill>
              <a:srgbClr val="BDD1E0"/>
            </a:solidFill>
            <a:ln>
              <a:noFill/>
            </a:ln>
            <a:effectLst/>
          </c:spPr>
          <c:invertIfNegative val="0"/>
          <c:dPt>
            <c:idx val="0"/>
            <c:invertIfNegative val="0"/>
            <c:bubble3D val="0"/>
            <c:spPr>
              <a:solidFill>
                <a:srgbClr val="BDD1E0"/>
              </a:solidFill>
              <a:ln>
                <a:noFill/>
              </a:ln>
              <a:effectLst/>
            </c:spPr>
            <c:extLst>
              <c:ext xmlns:c16="http://schemas.microsoft.com/office/drawing/2014/chart" uri="{C3380CC4-5D6E-409C-BE32-E72D297353CC}">
                <c16:uniqueId val="{00000002-4456-45E7-9F9C-9152534AB864}"/>
              </c:ext>
            </c:extLst>
          </c:dPt>
          <c:dPt>
            <c:idx val="1"/>
            <c:invertIfNegative val="0"/>
            <c:bubble3D val="0"/>
            <c:spPr>
              <a:solidFill>
                <a:srgbClr val="BED2E1"/>
              </a:solidFill>
              <a:ln>
                <a:noFill/>
              </a:ln>
              <a:effectLst/>
            </c:spPr>
            <c:extLst>
              <c:ext xmlns:c16="http://schemas.microsoft.com/office/drawing/2014/chart" uri="{C3380CC4-5D6E-409C-BE32-E72D297353CC}">
                <c16:uniqueId val="{00000003-4456-45E7-9F9C-9152534AB864}"/>
              </c:ext>
            </c:extLst>
          </c:dPt>
          <c:dPt>
            <c:idx val="2"/>
            <c:invertIfNegative val="0"/>
            <c:bubble3D val="0"/>
            <c:spPr>
              <a:solidFill>
                <a:srgbClr val="8CA0C3"/>
              </a:solidFill>
              <a:ln>
                <a:noFill/>
              </a:ln>
              <a:effectLst/>
            </c:spPr>
            <c:extLst>
              <c:ext xmlns:c16="http://schemas.microsoft.com/office/drawing/2014/chart" uri="{C3380CC4-5D6E-409C-BE32-E72D297353CC}">
                <c16:uniqueId val="{00000004-4456-45E7-9F9C-9152534AB86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analysis'!$E$14:$E$16</c:f>
              <c:numCache>
                <c:formatCode>0%</c:formatCode>
                <c:ptCount val="3"/>
                <c:pt idx="0">
                  <c:v>0.1</c:v>
                </c:pt>
                <c:pt idx="1">
                  <c:v>0.09</c:v>
                </c:pt>
                <c:pt idx="2">
                  <c:v>0</c:v>
                </c:pt>
              </c:numCache>
            </c:numRef>
          </c:cat>
          <c:val>
            <c:numRef>
              <c:f>'Sensitivity analysis'!$F$14:$F$16</c:f>
              <c:numCache>
                <c:formatCode>General</c:formatCode>
                <c:ptCount val="3"/>
                <c:pt idx="0">
                  <c:v>6.5</c:v>
                </c:pt>
                <c:pt idx="1">
                  <c:v>6.5</c:v>
                </c:pt>
                <c:pt idx="2">
                  <c:v>5.9</c:v>
                </c:pt>
              </c:numCache>
            </c:numRef>
          </c:val>
          <c:extLst>
            <c:ext xmlns:c16="http://schemas.microsoft.com/office/drawing/2014/chart" uri="{C3380CC4-5D6E-409C-BE32-E72D297353CC}">
              <c16:uniqueId val="{00000001-4456-45E7-9F9C-9152534AB864}"/>
            </c:ext>
          </c:extLst>
        </c:ser>
        <c:dLbls>
          <c:dLblPos val="outEnd"/>
          <c:showLegendKey val="0"/>
          <c:showVal val="1"/>
          <c:showCatName val="0"/>
          <c:showSerName val="0"/>
          <c:showPercent val="0"/>
          <c:showBubbleSize val="0"/>
        </c:dLbls>
        <c:gapWidth val="182"/>
        <c:axId val="1306450152"/>
        <c:axId val="1306446552"/>
      </c:barChart>
      <c:catAx>
        <c:axId val="1306450152"/>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atin typeface="Pero" panose="020F0506020203030304" pitchFamily="34" charset="0"/>
                  </a:rPr>
                  <a:t>Non-implementation cost share</a:t>
                </a:r>
              </a:p>
            </c:rich>
          </c:tx>
          <c:layout>
            <c:manualLayout>
              <c:xMode val="edge"/>
              <c:yMode val="edge"/>
              <c:x val="3.888888888888889E-2"/>
              <c:y val="0.1682067410081015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446552"/>
        <c:crosses val="autoZero"/>
        <c:auto val="1"/>
        <c:lblAlgn val="ctr"/>
        <c:lblOffset val="100"/>
        <c:noMultiLvlLbl val="0"/>
      </c:catAx>
      <c:valAx>
        <c:axId val="1306446552"/>
        <c:scaling>
          <c:orientation val="minMax"/>
          <c:max val="10"/>
          <c:min val="0"/>
        </c:scaling>
        <c:delete val="1"/>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atin typeface="Pero" panose="020F0506020203030304" pitchFamily="34" charset="0"/>
                  </a:rPr>
                  <a:t>SROI</a:t>
                </a:r>
              </a:p>
            </c:rich>
          </c:tx>
          <c:layout>
            <c:manualLayout>
              <c:xMode val="edge"/>
              <c:yMode val="edge"/>
              <c:x val="0.52697115405000872"/>
              <c:y val="0.900695313593353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1306450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149575</xdr:colOff>
      <xdr:row>5</xdr:row>
      <xdr:rowOff>31227</xdr:rowOff>
    </xdr:from>
    <xdr:to>
      <xdr:col>11</xdr:col>
      <xdr:colOff>126144</xdr:colOff>
      <xdr:row>11</xdr:row>
      <xdr:rowOff>276226</xdr:rowOff>
    </xdr:to>
    <xdr:sp macro="" textlink="">
      <xdr:nvSpPr>
        <xdr:cNvPr id="4" name="TextBox 2">
          <a:extLst>
            <a:ext uri="{FF2B5EF4-FFF2-40B4-BE49-F238E27FC236}">
              <a16:creationId xmlns:a16="http://schemas.microsoft.com/office/drawing/2014/main" id="{579F6D4E-D274-4D06-9178-183C09486486}"/>
            </a:ext>
          </a:extLst>
        </xdr:cNvPr>
        <xdr:cNvSpPr txBox="1"/>
      </xdr:nvSpPr>
      <xdr:spPr>
        <a:xfrm>
          <a:off x="7655275" y="1117077"/>
          <a:ext cx="5853494" cy="1378474"/>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Pero" panose="020F0506020203030304" pitchFamily="34" charset="0"/>
              <a:ea typeface="+mn-ea"/>
              <a:cs typeface="+mn-cs"/>
            </a:rPr>
            <a:t>HWG Summary/Interpretation: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compares the estimated </a:t>
          </a:r>
          <a:r>
            <a:rPr lang="en-US" sz="1000" b="1">
              <a:solidFill>
                <a:schemeClr val="dk1"/>
              </a:solidFill>
              <a:effectLst/>
              <a:latin typeface="Pero" panose="020F0506020203030304" pitchFamily="34" charset="0"/>
              <a:ea typeface="+mn-ea"/>
              <a:cs typeface="+mn-cs"/>
            </a:rPr>
            <a:t>total benefits of 20.7M</a:t>
          </a:r>
          <a:r>
            <a:rPr lang="en-US" sz="1000" b="1" baseline="0">
              <a:solidFill>
                <a:schemeClr val="dk1"/>
              </a:solidFill>
              <a:effectLst/>
              <a:latin typeface="Pero" panose="020F0506020203030304" pitchFamily="34" charset="0"/>
              <a:ea typeface="+mn-ea"/>
              <a:cs typeface="+mn-cs"/>
            </a:rPr>
            <a:t> EUR with the implementation costs of 3.5M EUR </a:t>
          </a:r>
          <a:r>
            <a:rPr lang="en-US" sz="1000" baseline="0">
              <a:solidFill>
                <a:schemeClr val="dk1"/>
              </a:solidFill>
              <a:effectLst/>
              <a:latin typeface="Pero" panose="020F0506020203030304" pitchFamily="34" charset="0"/>
              <a:ea typeface="+mn-ea"/>
              <a:cs typeface="+mn-cs"/>
            </a:rPr>
            <a:t>(values are discounted and deflated to real 2021 EUR).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Under base case assumptions the model shows </a:t>
          </a:r>
          <a:r>
            <a:rPr lang="en-US" sz="1000" b="1">
              <a:solidFill>
                <a:schemeClr val="dk1"/>
              </a:solidFill>
              <a:effectLst/>
              <a:latin typeface="Pero" panose="020F0506020203030304" pitchFamily="34" charset="0"/>
              <a:ea typeface="+mn-ea"/>
              <a:cs typeface="+mn-cs"/>
            </a:rPr>
            <a:t>large positive returns - </a:t>
          </a:r>
          <a:r>
            <a:rPr lang="en-US" sz="1000">
              <a:solidFill>
                <a:schemeClr val="dk1"/>
              </a:solidFill>
              <a:effectLst/>
              <a:latin typeface="Pero" panose="020F0506020203030304" pitchFamily="34" charset="0"/>
              <a:ea typeface="+mn-ea"/>
              <a:cs typeface="+mn-cs"/>
            </a:rPr>
            <a:t>for every EUR invested, </a:t>
          </a:r>
          <a:r>
            <a:rPr lang="en-US" sz="1000" b="1">
              <a:solidFill>
                <a:schemeClr val="dk1"/>
              </a:solidFill>
              <a:effectLst/>
              <a:latin typeface="Pero" panose="020F0506020203030304" pitchFamily="34" charset="0"/>
              <a:ea typeface="+mn-ea"/>
              <a:cs typeface="+mn-cs"/>
            </a:rPr>
            <a:t>5.9 EUR</a:t>
          </a:r>
          <a:r>
            <a:rPr lang="en-US" sz="1000">
              <a:solidFill>
                <a:schemeClr val="dk1"/>
              </a:solidFill>
              <a:effectLst/>
              <a:latin typeface="Pero" panose="020F0506020203030304" pitchFamily="34" charset="0"/>
              <a:ea typeface="+mn-ea"/>
              <a:cs typeface="+mn-cs"/>
            </a:rPr>
            <a:t> additional household income are created.</a:t>
          </a:r>
        </a:p>
        <a:p>
          <a:pPr marL="171450" lvl="0" indent="-171450">
            <a:buFont typeface="Arial" panose="020B0604020202020204" pitchFamily="34" charset="0"/>
            <a:buChar char="•"/>
          </a:pPr>
          <a:r>
            <a:rPr lang="en-US" sz="1000" b="0">
              <a:solidFill>
                <a:schemeClr val="dk1"/>
              </a:solidFill>
              <a:effectLst/>
              <a:latin typeface="Pero" panose="020F0506020203030304" pitchFamily="34" charset="0"/>
              <a:ea typeface="+mn-ea"/>
              <a:cs typeface="+mn-cs"/>
            </a:rPr>
            <a:t>The model uses</a:t>
          </a:r>
          <a:r>
            <a:rPr lang="en-US" sz="1000" b="0" baseline="0">
              <a:solidFill>
                <a:schemeClr val="dk1"/>
              </a:solidFill>
              <a:effectLst/>
              <a:latin typeface="Pero" panose="020F0506020203030304" pitchFamily="34" charset="0"/>
              <a:ea typeface="+mn-ea"/>
              <a:cs typeface="+mn-cs"/>
            </a:rPr>
            <a:t> data from the Laterite baseline sample of coffee-farming households. RTV's own monitoring data sampled from all project participants (including non-coffee-farming households) show much higher levels of deprivation.</a:t>
          </a:r>
        </a:p>
      </xdr:txBody>
    </xdr:sp>
    <xdr:clientData/>
  </xdr:twoCellAnchor>
  <xdr:twoCellAnchor>
    <xdr:from>
      <xdr:col>0</xdr:col>
      <xdr:colOff>276225</xdr:colOff>
      <xdr:row>45</xdr:row>
      <xdr:rowOff>114300</xdr:rowOff>
    </xdr:from>
    <xdr:to>
      <xdr:col>3</xdr:col>
      <xdr:colOff>85725</xdr:colOff>
      <xdr:row>65</xdr:row>
      <xdr:rowOff>104775</xdr:rowOff>
    </xdr:to>
    <xdr:graphicFrame macro="">
      <xdr:nvGraphicFramePr>
        <xdr:cNvPr id="2" name="Chart 7">
          <a:extLst>
            <a:ext uri="{FF2B5EF4-FFF2-40B4-BE49-F238E27FC236}">
              <a16:creationId xmlns:a16="http://schemas.microsoft.com/office/drawing/2014/main" id="{0AD08FCC-103F-4882-A83B-DDFCD7116810}"/>
            </a:ext>
            <a:ext uri="{147F2762-F138-4A5C-976F-8EAC2B608ADB}">
              <a16:predDERef xmlns:a16="http://schemas.microsoft.com/office/drawing/2014/main" pred="{579F6D4E-D274-4D06-9178-183C09486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277785</xdr:colOff>
      <xdr:row>18</xdr:row>
      <xdr:rowOff>201930</xdr:rowOff>
    </xdr:from>
    <xdr:to>
      <xdr:col>11</xdr:col>
      <xdr:colOff>163830</xdr:colOff>
      <xdr:row>25</xdr:row>
      <xdr:rowOff>314325</xdr:rowOff>
    </xdr:to>
    <xdr:sp macro="" textlink="">
      <xdr:nvSpPr>
        <xdr:cNvPr id="5" name="TextBox 2">
          <a:extLst>
            <a:ext uri="{FF2B5EF4-FFF2-40B4-BE49-F238E27FC236}">
              <a16:creationId xmlns:a16="http://schemas.microsoft.com/office/drawing/2014/main" id="{18716EB5-3248-4F4E-B456-59FD62750B1E}"/>
            </a:ext>
          </a:extLst>
        </xdr:cNvPr>
        <xdr:cNvSpPr txBox="1"/>
      </xdr:nvSpPr>
      <xdr:spPr>
        <a:xfrm>
          <a:off x="6678585" y="4469130"/>
          <a:ext cx="6820245" cy="172212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b="1" i="0" u="none" strike="noStrike" baseline="0">
              <a:solidFill>
                <a:schemeClr val="dk1"/>
              </a:solidFill>
              <a:latin typeface="Pero" panose="020F0506020203030304" pitchFamily="34" charset="0"/>
              <a:ea typeface="+mn-ea"/>
              <a:cs typeface="+mn-cs"/>
            </a:rPr>
            <a:t>*Level of certainty: Medium</a:t>
          </a:r>
          <a:endParaRPr lang="en-US" sz="1000" b="0" i="0" u="none" strike="noStrike" baseline="0">
            <a:solidFill>
              <a:schemeClr val="dk1"/>
            </a:solidFill>
            <a:latin typeface="Pero" panose="020F0506020203030304" pitchFamily="34" charset="0"/>
            <a:ea typeface="+mn-ea"/>
            <a:cs typeface="+mn-cs"/>
          </a:endParaRPr>
        </a:p>
        <a:p>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Household consumption expenditure measurement in rigorous experimental design. Study conducted in ultra-poor communities in Uganda (districts differ from program intervention districts). RTV program design differed from current design (livestock asset transfer; no coffee focus)</a:t>
          </a:r>
        </a:p>
        <a:p>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Empirically gorunded assumptions on expected income increase and long-term income effects of RTV or other graduation  programs.</a:t>
          </a:r>
        </a:p>
        <a:p>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Varying the baseline income or program impact estimates lead to noticeable changes in SROI. Yet, the program remains cost-effective in most sceanrios.</a:t>
          </a:r>
        </a:p>
      </xdr:txBody>
    </xdr:sp>
    <xdr:clientData/>
  </xdr:twoCellAnchor>
  <xdr:twoCellAnchor>
    <xdr:from>
      <xdr:col>3</xdr:col>
      <xdr:colOff>314997</xdr:colOff>
      <xdr:row>29</xdr:row>
      <xdr:rowOff>111723</xdr:rowOff>
    </xdr:from>
    <xdr:to>
      <xdr:col>11</xdr:col>
      <xdr:colOff>171450</xdr:colOff>
      <xdr:row>31</xdr:row>
      <xdr:rowOff>91440</xdr:rowOff>
    </xdr:to>
    <xdr:sp macro="" textlink="">
      <xdr:nvSpPr>
        <xdr:cNvPr id="6" name="TextBox 5">
          <a:extLst>
            <a:ext uri="{FF2B5EF4-FFF2-40B4-BE49-F238E27FC236}">
              <a16:creationId xmlns:a16="http://schemas.microsoft.com/office/drawing/2014/main" id="{BAA10D51-390A-47D6-9C03-A1A3F44C8138}"/>
            </a:ext>
          </a:extLst>
        </xdr:cNvPr>
        <xdr:cNvSpPr txBox="1"/>
      </xdr:nvSpPr>
      <xdr:spPr>
        <a:xfrm>
          <a:off x="6696747" y="6826848"/>
          <a:ext cx="6857328" cy="64646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Excellent</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Rigorous design with well-documented, robust methods that effectively address potential biases and support strong causal inferences.</a:t>
          </a:r>
        </a:p>
      </xdr:txBody>
    </xdr:sp>
    <xdr:clientData/>
  </xdr:twoCellAnchor>
  <xdr:twoCellAnchor editAs="oneCell">
    <xdr:from>
      <xdr:col>5</xdr:col>
      <xdr:colOff>862965</xdr:colOff>
      <xdr:row>0</xdr:row>
      <xdr:rowOff>64770</xdr:rowOff>
    </xdr:from>
    <xdr:to>
      <xdr:col>7</xdr:col>
      <xdr:colOff>590787</xdr:colOff>
      <xdr:row>2</xdr:row>
      <xdr:rowOff>129612</xdr:rowOff>
    </xdr:to>
    <xdr:pic>
      <xdr:nvPicPr>
        <xdr:cNvPr id="7" name="Picture 6">
          <a:extLst>
            <a:ext uri="{FF2B5EF4-FFF2-40B4-BE49-F238E27FC236}">
              <a16:creationId xmlns:a16="http://schemas.microsoft.com/office/drawing/2014/main" id="{85187F51-B959-E813-1A09-CCE3B03473BC}"/>
            </a:ext>
          </a:extLst>
        </xdr:cNvPr>
        <xdr:cNvPicPr>
          <a:picLocks noChangeAspect="1"/>
        </xdr:cNvPicPr>
      </xdr:nvPicPr>
      <xdr:blipFill>
        <a:blip xmlns:r="http://schemas.openxmlformats.org/officeDocument/2006/relationships" r:embed="rId2"/>
        <a:stretch>
          <a:fillRect/>
        </a:stretch>
      </xdr:blipFill>
      <xdr:spPr>
        <a:xfrm>
          <a:off x="9616440" y="64770"/>
          <a:ext cx="1705212" cy="516327"/>
        </a:xfrm>
        <a:prstGeom prst="rect">
          <a:avLst/>
        </a:prstGeom>
      </xdr:spPr>
    </xdr:pic>
    <xdr:clientData/>
  </xdr:twoCellAnchor>
  <xdr:twoCellAnchor editAs="oneCell">
    <xdr:from>
      <xdr:col>8</xdr:col>
      <xdr:colOff>228600</xdr:colOff>
      <xdr:row>0</xdr:row>
      <xdr:rowOff>55245</xdr:rowOff>
    </xdr:from>
    <xdr:to>
      <xdr:col>10</xdr:col>
      <xdr:colOff>497206</xdr:colOff>
      <xdr:row>2</xdr:row>
      <xdr:rowOff>131445</xdr:rowOff>
    </xdr:to>
    <xdr:pic>
      <xdr:nvPicPr>
        <xdr:cNvPr id="8" name="Picture 7">
          <a:extLst>
            <a:ext uri="{FF2B5EF4-FFF2-40B4-BE49-F238E27FC236}">
              <a16:creationId xmlns:a16="http://schemas.microsoft.com/office/drawing/2014/main" id="{05F9C4ED-D8D9-47A5-AE3B-C8D72BDBA8E8}"/>
            </a:ext>
          </a:extLst>
        </xdr:cNvPr>
        <xdr:cNvPicPr>
          <a:picLocks noChangeAspect="1"/>
        </xdr:cNvPicPr>
      </xdr:nvPicPr>
      <xdr:blipFill>
        <a:blip xmlns:r="http://schemas.openxmlformats.org/officeDocument/2006/relationships" r:embed="rId3"/>
        <a:stretch>
          <a:fillRect/>
        </a:stretch>
      </xdr:blipFill>
      <xdr:spPr>
        <a:xfrm>
          <a:off x="11591925" y="55245"/>
          <a:ext cx="1525906" cy="533400"/>
        </a:xfrm>
        <a:prstGeom prst="rect">
          <a:avLst/>
        </a:prstGeom>
      </xdr:spPr>
    </xdr:pic>
    <xdr:clientData/>
  </xdr:twoCellAnchor>
  <xdr:twoCellAnchor>
    <xdr:from>
      <xdr:col>3</xdr:col>
      <xdr:colOff>782955</xdr:colOff>
      <xdr:row>45</xdr:row>
      <xdr:rowOff>77152</xdr:rowOff>
    </xdr:from>
    <xdr:to>
      <xdr:col>10</xdr:col>
      <xdr:colOff>219075</xdr:colOff>
      <xdr:row>65</xdr:row>
      <xdr:rowOff>114300</xdr:rowOff>
    </xdr:to>
    <xdr:graphicFrame macro="">
      <xdr:nvGraphicFramePr>
        <xdr:cNvPr id="10" name="Chart 9">
          <a:extLst>
            <a:ext uri="{FF2B5EF4-FFF2-40B4-BE49-F238E27FC236}">
              <a16:creationId xmlns:a16="http://schemas.microsoft.com/office/drawing/2014/main" id="{D439254D-E2CD-232C-5401-367AAE68A6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180975</xdr:rowOff>
    </xdr:from>
    <xdr:to>
      <xdr:col>19</xdr:col>
      <xdr:colOff>553493</xdr:colOff>
      <xdr:row>25</xdr:row>
      <xdr:rowOff>4172</xdr:rowOff>
    </xdr:to>
    <xdr:pic>
      <xdr:nvPicPr>
        <xdr:cNvPr id="2" name="Picture 1">
          <a:extLst>
            <a:ext uri="{FF2B5EF4-FFF2-40B4-BE49-F238E27FC236}">
              <a16:creationId xmlns:a16="http://schemas.microsoft.com/office/drawing/2014/main" id="{6BA4B5B3-051F-49EB-DC08-D7EE1C643BB5}"/>
            </a:ext>
          </a:extLst>
        </xdr:cNvPr>
        <xdr:cNvPicPr>
          <a:picLocks noChangeAspect="1"/>
        </xdr:cNvPicPr>
      </xdr:nvPicPr>
      <xdr:blipFill>
        <a:blip xmlns:r="http://schemas.openxmlformats.org/officeDocument/2006/relationships" r:embed="rId1"/>
        <a:stretch>
          <a:fillRect/>
        </a:stretch>
      </xdr:blipFill>
      <xdr:spPr>
        <a:xfrm>
          <a:off x="95250" y="419100"/>
          <a:ext cx="12402593" cy="4395197"/>
        </a:xfrm>
        <a:prstGeom prst="rect">
          <a:avLst/>
        </a:prstGeom>
      </xdr:spPr>
    </xdr:pic>
    <xdr:clientData/>
  </xdr:twoCellAnchor>
  <xdr:twoCellAnchor editAs="oneCell">
    <xdr:from>
      <xdr:col>0</xdr:col>
      <xdr:colOff>0</xdr:colOff>
      <xdr:row>27</xdr:row>
      <xdr:rowOff>161925</xdr:rowOff>
    </xdr:from>
    <xdr:to>
      <xdr:col>19</xdr:col>
      <xdr:colOff>485775</xdr:colOff>
      <xdr:row>64</xdr:row>
      <xdr:rowOff>68257</xdr:rowOff>
    </xdr:to>
    <xdr:pic>
      <xdr:nvPicPr>
        <xdr:cNvPr id="3" name="Picture 2">
          <a:extLst>
            <a:ext uri="{FF2B5EF4-FFF2-40B4-BE49-F238E27FC236}">
              <a16:creationId xmlns:a16="http://schemas.microsoft.com/office/drawing/2014/main" id="{4F8B586D-9500-49E0-93A6-B41009BFFBDF}"/>
            </a:ext>
          </a:extLst>
        </xdr:cNvPr>
        <xdr:cNvPicPr>
          <a:picLocks noChangeAspect="1"/>
        </xdr:cNvPicPr>
      </xdr:nvPicPr>
      <xdr:blipFill>
        <a:blip xmlns:r="http://schemas.openxmlformats.org/officeDocument/2006/relationships" r:embed="rId2"/>
        <a:stretch>
          <a:fillRect/>
        </a:stretch>
      </xdr:blipFill>
      <xdr:spPr>
        <a:xfrm>
          <a:off x="0" y="5400675"/>
          <a:ext cx="12430125" cy="69548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385553</xdr:colOff>
      <xdr:row>11</xdr:row>
      <xdr:rowOff>145985</xdr:rowOff>
    </xdr:from>
    <xdr:to>
      <xdr:col>3</xdr:col>
      <xdr:colOff>769572</xdr:colOff>
      <xdr:row>22</xdr:row>
      <xdr:rowOff>174254</xdr:rowOff>
    </xdr:to>
    <xdr:graphicFrame macro="">
      <xdr:nvGraphicFramePr>
        <xdr:cNvPr id="2" name="Chart 1">
          <a:extLst>
            <a:ext uri="{FF2B5EF4-FFF2-40B4-BE49-F238E27FC236}">
              <a16:creationId xmlns:a16="http://schemas.microsoft.com/office/drawing/2014/main" id="{E576D30A-DC27-605E-D15E-FF063E0A9C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880110</xdr:colOff>
      <xdr:row>11</xdr:row>
      <xdr:rowOff>123825</xdr:rowOff>
    </xdr:from>
    <xdr:to>
      <xdr:col>8</xdr:col>
      <xdr:colOff>689610</xdr:colOff>
      <xdr:row>22</xdr:row>
      <xdr:rowOff>165736</xdr:rowOff>
    </xdr:to>
    <xdr:graphicFrame macro="">
      <xdr:nvGraphicFramePr>
        <xdr:cNvPr id="4" name="Chart 3">
          <a:extLst>
            <a:ext uri="{FF2B5EF4-FFF2-40B4-BE49-F238E27FC236}">
              <a16:creationId xmlns:a16="http://schemas.microsoft.com/office/drawing/2014/main" id="{5BE503B8-F555-44F0-5D9A-27E0C23080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0</xdr:row>
      <xdr:rowOff>77932</xdr:rowOff>
    </xdr:from>
    <xdr:to>
      <xdr:col>15</xdr:col>
      <xdr:colOff>1</xdr:colOff>
      <xdr:row>22</xdr:row>
      <xdr:rowOff>129886</xdr:rowOff>
    </xdr:to>
    <xdr:sp macro="" textlink="">
      <xdr:nvSpPr>
        <xdr:cNvPr id="2" name="TextBox 2">
          <a:extLst>
            <a:ext uri="{FF2B5EF4-FFF2-40B4-BE49-F238E27FC236}">
              <a16:creationId xmlns:a16="http://schemas.microsoft.com/office/drawing/2014/main" id="{110F248E-CA25-4F5D-A02F-090BFBF28701}"/>
            </a:ext>
          </a:extLst>
        </xdr:cNvPr>
        <xdr:cNvSpPr txBox="1"/>
      </xdr:nvSpPr>
      <xdr:spPr>
        <a:xfrm>
          <a:off x="257175" y="77932"/>
          <a:ext cx="8445212" cy="252845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278130</xdr:colOff>
      <xdr:row>22</xdr:row>
      <xdr:rowOff>179935</xdr:rowOff>
    </xdr:from>
    <xdr:to>
      <xdr:col>14</xdr:col>
      <xdr:colOff>579755</xdr:colOff>
      <xdr:row>28</xdr:row>
      <xdr:rowOff>51955</xdr:rowOff>
    </xdr:to>
    <xdr:sp macro="" textlink="">
      <xdr:nvSpPr>
        <xdr:cNvPr id="3" name="TextBox 2">
          <a:extLst>
            <a:ext uri="{FF2B5EF4-FFF2-40B4-BE49-F238E27FC236}">
              <a16:creationId xmlns:a16="http://schemas.microsoft.com/office/drawing/2014/main" id="{552BC1CC-A17E-4053-B0DD-CB058BA69C17}"/>
            </a:ext>
          </a:extLst>
        </xdr:cNvPr>
        <xdr:cNvSpPr txBox="1"/>
      </xdr:nvSpPr>
      <xdr:spPr>
        <a:xfrm>
          <a:off x="278130" y="4180435"/>
          <a:ext cx="8545080" cy="96306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p>
      </xdr:txBody>
    </xdr:sp>
    <xdr:clientData/>
  </xdr:twoCellAnchor>
  <xdr:twoCellAnchor>
    <xdr:from>
      <xdr:col>0</xdr:col>
      <xdr:colOff>290368</xdr:colOff>
      <xdr:row>28</xdr:row>
      <xdr:rowOff>152110</xdr:rowOff>
    </xdr:from>
    <xdr:to>
      <xdr:col>15</xdr:col>
      <xdr:colOff>17318</xdr:colOff>
      <xdr:row>36</xdr:row>
      <xdr:rowOff>60613</xdr:rowOff>
    </xdr:to>
    <xdr:sp macro="" textlink="">
      <xdr:nvSpPr>
        <xdr:cNvPr id="4" name="TextBox 3">
          <a:extLst>
            <a:ext uri="{FF2B5EF4-FFF2-40B4-BE49-F238E27FC236}">
              <a16:creationId xmlns:a16="http://schemas.microsoft.com/office/drawing/2014/main" id="{63DE3771-B597-4E8D-8E26-255364F42E02}"/>
            </a:ext>
          </a:extLst>
        </xdr:cNvPr>
        <xdr:cNvSpPr txBox="1"/>
      </xdr:nvSpPr>
      <xdr:spPr>
        <a:xfrm>
          <a:off x="290368" y="5486110"/>
          <a:ext cx="8299450" cy="1432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*Discrount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292101</xdr:colOff>
      <xdr:row>48</xdr:row>
      <xdr:rowOff>25977</xdr:rowOff>
    </xdr:from>
    <xdr:to>
      <xdr:col>15</xdr:col>
      <xdr:colOff>6351</xdr:colOff>
      <xdr:row>61</xdr:row>
      <xdr:rowOff>55789</xdr:rowOff>
    </xdr:to>
    <xdr:sp macro="" textlink="">
      <xdr:nvSpPr>
        <xdr:cNvPr id="5" name="TextBox 4">
          <a:extLst>
            <a:ext uri="{FF2B5EF4-FFF2-40B4-BE49-F238E27FC236}">
              <a16:creationId xmlns:a16="http://schemas.microsoft.com/office/drawing/2014/main" id="{C75BFADB-69A4-44FD-81FB-0C38A1BC8E47}"/>
            </a:ext>
          </a:extLst>
        </xdr:cNvPr>
        <xdr:cNvSpPr txBox="1"/>
      </xdr:nvSpPr>
      <xdr:spPr>
        <a:xfrm>
          <a:off x="292101" y="9169977"/>
          <a:ext cx="8286750" cy="250631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0</xdr:col>
      <xdr:colOff>283441</xdr:colOff>
      <xdr:row>36</xdr:row>
      <xdr:rowOff>134504</xdr:rowOff>
    </xdr:from>
    <xdr:to>
      <xdr:col>15</xdr:col>
      <xdr:colOff>10391</xdr:colOff>
      <xdr:row>41</xdr:row>
      <xdr:rowOff>112569</xdr:rowOff>
    </xdr:to>
    <xdr:sp macro="" textlink="">
      <xdr:nvSpPr>
        <xdr:cNvPr id="6" name="TextBox 5">
          <a:extLst>
            <a:ext uri="{FF2B5EF4-FFF2-40B4-BE49-F238E27FC236}">
              <a16:creationId xmlns:a16="http://schemas.microsoft.com/office/drawing/2014/main" id="{ADC701C7-DBC6-4A0E-8F3E-402A334254F3}"/>
            </a:ext>
          </a:extLst>
        </xdr:cNvPr>
        <xdr:cNvSpPr txBox="1"/>
      </xdr:nvSpPr>
      <xdr:spPr>
        <a:xfrm>
          <a:off x="283441" y="6992504"/>
          <a:ext cx="8299450" cy="9305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lang="en-US" sz="1050" b="0">
              <a:solidFill>
                <a:schemeClr val="dk1"/>
              </a:solidFill>
              <a:effectLst/>
              <a:latin typeface="Pero" panose="020F0506020203030304" pitchFamily="34" charset="0"/>
              <a:ea typeface="+mn-ea"/>
              <a:cs typeface="+mn-cs"/>
            </a:rPr>
            <a:t>We present cash flows in real values, deflating</a:t>
          </a:r>
          <a:r>
            <a:rPr lang="en-US" sz="1050" b="0" baseline="0">
              <a:solidFill>
                <a:schemeClr val="dk1"/>
              </a:solidFill>
              <a:effectLst/>
              <a:latin typeface="Pero" panose="020F0506020203030304" pitchFamily="34" charset="0"/>
              <a:ea typeface="+mn-ea"/>
              <a:cs typeface="+mn-cs"/>
            </a:rPr>
            <a:t> both income effects</a:t>
          </a:r>
          <a:r>
            <a:rPr lang="en-US" sz="1050" b="0">
              <a:solidFill>
                <a:schemeClr val="dk1"/>
              </a:solidFill>
              <a:effectLst/>
              <a:latin typeface="Pero" panose="020F0506020203030304" pitchFamily="34" charset="0"/>
              <a:ea typeface="+mn-ea"/>
              <a:cs typeface="+mn-cs"/>
            </a:rPr>
            <a:t> as well as project costs back to real value in base year 2024, using average annual LCU inflation rate over time elapsed between base year and the incurrence of benefits/costs. We take the present value of these cash flows and then deflate back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259773</xdr:colOff>
      <xdr:row>42</xdr:row>
      <xdr:rowOff>17318</xdr:rowOff>
    </xdr:from>
    <xdr:to>
      <xdr:col>15</xdr:col>
      <xdr:colOff>17318</xdr:colOff>
      <xdr:row>47</xdr:row>
      <xdr:rowOff>129886</xdr:rowOff>
    </xdr:to>
    <xdr:sp macro="" textlink="">
      <xdr:nvSpPr>
        <xdr:cNvPr id="7" name="TextBox 6">
          <a:extLst>
            <a:ext uri="{FF2B5EF4-FFF2-40B4-BE49-F238E27FC236}">
              <a16:creationId xmlns:a16="http://schemas.microsoft.com/office/drawing/2014/main" id="{C7F574A3-BB8A-4CAA-BEC2-E21417A575A6}"/>
            </a:ext>
          </a:extLst>
        </xdr:cNvPr>
        <xdr:cNvSpPr txBox="1"/>
      </xdr:nvSpPr>
      <xdr:spPr>
        <a:xfrm>
          <a:off x="259773" y="8018318"/>
          <a:ext cx="8330045" cy="106506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a:t>
          </a:r>
          <a:r>
            <a:rPr lang="en-US" sz="1050" b="0">
              <a:solidFill>
                <a:schemeClr val="dk1"/>
              </a:solidFill>
              <a:latin typeface="Pero" panose="020F0506020203030304" pitchFamily="34" charset="0"/>
              <a:ea typeface="+mn-ea"/>
              <a:cs typeface="+mn-cs"/>
            </a:rPr>
            <a:t> </a:t>
          </a:r>
          <a:r>
            <a:rPr lang="en-US" sz="1050" b="0">
              <a:solidFill>
                <a:schemeClr val="dk1"/>
              </a:solidFill>
              <a:effectLst/>
              <a:latin typeface="Pero" panose="020F0506020203030304" pitchFamily="34" charset="0"/>
              <a:ea typeface="+mn-ea"/>
              <a:cs typeface="+mn-cs"/>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  </a:t>
          </a:r>
        </a:p>
      </xdr:txBody>
    </xdr:sp>
    <xdr:clientData/>
  </xdr:twoCellAnchor>
</xdr:wsDr>
</file>

<file path=xl/persons/person.xml><?xml version="1.0" encoding="utf-8"?>
<personList xmlns="http://schemas.microsoft.com/office/spreadsheetml/2018/threadedcomments" xmlns:x="http://schemas.openxmlformats.org/spreadsheetml/2006/main">
  <person displayName="Wiegel, Sarah" id="{4FAF659E-664E-4D80-99F3-D81B7727695D}" userId="S::swiegel@herewegrow.org::750ddbee-ee52-4a41-b292-ae74334bd7d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6" dT="2026-07-01T08:24:53.30" personId="{4FAF659E-664E-4D80-99F3-D81B7727695D}" id="{8672ECC5-8A66-4F8C-946C-5B064D68DEB0}">
    <text>10% increase of median baseline income. Median baseline income=675,000 UGX</text>
  </threadedComment>
  <threadedComment ref="B27" dT="2026-07-01T08:26:54.76" personId="{4FAF659E-664E-4D80-99F3-D81B7727695D}" id="{64731E25-6E09-41A3-ADC2-B6DEFD163168}">
    <text>10% income increase of median baseline hh income.
Median baseline hh income of 6,764,419 UGX.</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7-01T09:49:07.69" personId="{4FAF659E-664E-4D80-99F3-D81B7727695D}" id="{79A421FA-D479-4B42-BFE1-AE165092C2BE}">
    <text>We choose as year of analysis 2021 to be able to allow for comparisons with latest international poverty lines.</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5-12-02T10:56:59.30" personId="{4FAF659E-664E-4D80-99F3-D81B7727695D}" id="{32EA18E6-593B-4B0D-B078-A23475F328B1}">
    <text>We assume 2% income increase in Yr 1, 8% in Yr 2 and 10% in Yr 3. We treat this impact as real percentage gains in consumption relative to baseline.</text>
  </threadedComment>
  <threadedComment ref="F4" dT="2025-12-02T12:39:53.12" personId="{4FAF659E-664E-4D80-99F3-D81B7727695D}" id="{56FF7E33-02E3-4E17-AE3B-E07D47EEDB9C}">
    <text>Given Uganda graduation follow-ups show continued improvement through year 5 (https://villageenterprise.org/wp-content/uploads/2022/11/Village-Enterprise-Longitudinal-Study-Report.pdf) we assume income gains to grow by 3% real per year, compounding until Yr 7. From Yr 7 onwards, income gains are held constant.</text>
    <extLst>
      <x:ext xmlns:xltc2="http://schemas.microsoft.com/office/spreadsheetml/2020/threadedcomments2" uri="{F7C98A9C-CBB3-438F-8F68-D28B6AF4A901}">
        <xltc2:checksum>3307652207</xltc2:checksum>
        <xltc2:hyperlink startIndex="78" length="105" url="https://villageenterprise.org/wp-content/uploads/2022/11/Village-Enterprise-Longitudinal-Study-Report.pdf"/>
      </x:ext>
    </extLst>
  </threadedComment>
  <threadedComment ref="G32" dT="2026-02-05T09:40:01.97" personId="{4FAF659E-664E-4D80-99F3-D81B7727695D}" id="{8763484B-5D12-4349-A25E-5263762DB0A4}">
    <text xml:space="preserve">We extend costs beyond HWG commitment to reflect the full costs for all 27,600 hh  to run through the full programm (2 years) </text>
  </threadedComment>
  <threadedComment ref="B33" dT="2026-07-01T12:17:29.55" personId="{4FAF659E-664E-4D80-99F3-D81B7727695D}" id="{42FE874A-9AF9-4A21-9198-1A1F75D41797}">
    <text>We substract inirect costs from the budget because we assume these are not necessary to replicate the program.</text>
  </threadedComment>
  <threadedComment ref="G36" dT="2026-02-05T12:12:23.61" personId="{4FAF659E-664E-4D80-99F3-D81B7727695D}" id="{71939262-FB6A-46E5-AE48-E7C378500A76}">
    <text>We likely overestimate program costs here because the largest share of program costs ocurr during the first 6 months of programming.</text>
  </threadedComment>
  <threadedComment ref="B49" dT="2025-12-22T09:51:01.68" personId="{4FAF659E-664E-4D80-99F3-D81B7727695D}" id="{07B50514-CC18-48F5-8ABA-8CB55B50EF3D}">
    <text xml:space="preserve">Compared to median baseline household consumption expenditure. </text>
  </threadedComment>
</ThreadedComments>
</file>

<file path=xl/threadedComments/threadedComment4.xml><?xml version="1.0" encoding="utf-8"?>
<ThreadedComments xmlns="http://schemas.microsoft.com/office/spreadsheetml/2018/threadedcomments" xmlns:x="http://schemas.openxmlformats.org/spreadsheetml/2006/main">
  <threadedComment ref="B4" dT="2025-12-02T08:11:16.18" personId="{4FAF659E-664E-4D80-99F3-D81B7727695D}" id="{750AFB2B-E88E-4513-A75C-F8A926D60E61}">
    <text>Mean is 1.4 ha.</text>
  </threadedComment>
  <threadedComment ref="B5" dT="2025-12-02T08:11:48.72" personId="{4FAF659E-664E-4D80-99F3-D81B7727695D}" id="{85951B4D-4761-40C5-B025-4A1B0EC7CF4F}">
    <text>Mean is 0.5 ha.</text>
  </threadedComment>
  <threadedComment ref="B6" dT="2025-12-02T08:22:36.64" personId="{4FAF659E-664E-4D80-99F3-D81B7727695D}" id="{3FF5419C-5210-41F0-8F9A-EB140B64A2D7}">
    <text xml:space="preserve">Mean is 810. If we take coffee trees per ha of farmland with coffee trees present, median is 346 and mean 563 trees. </text>
  </threadedComment>
  <threadedComment ref="B7" dT="2025-12-02T09:25:12.54" personId="{4FAF659E-664E-4D80-99F3-D81B7727695D}" id="{7FA41055-E060-41E9-A403-2F97FCDFC0B9}">
    <text>Mean is 3,316 kg/ha.</text>
  </threadedComment>
  <threadedComment ref="B8" dT="2025-12-02T09:27:37.34" personId="{4FAF659E-664E-4D80-99F3-D81B7727695D}" id="{03038E9A-2F84-4301-87E9-AB51CCDB5060}">
    <text>Mean is 7.25.</text>
  </threadedComment>
  <threadedComment ref="B9" dT="2025-12-02T09:02:14.84" personId="{4FAF659E-664E-4D80-99F3-D81B7727695D}" id="{7CC1B9D2-DD30-4816-A8F7-C532D8B39557}">
    <text>Income=revenues-expenditures. Mean is 2,383,826 UGX</text>
  </threadedComment>
  <threadedComment ref="B10" dT="2025-12-02T09:09:31.06" personId="{4FAF659E-664E-4D80-99F3-D81B7727695D}" id="{1FED4A91-CC6E-4A23-A4CE-D9F39BBC3EF5}">
    <text>Mean is 6,989,116 UGX</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5D1086A-1AAB-4AF3-ACC9-F525C9C859CE}">
  <we:reference id="WA200010725" version="1.0.0.1" store="Omex" storeType="OMEX"/>
  <we:alternateReferences>
    <we:reference id="WA200010725" version="1.0.0.1" store="WA200010725" storeType="OMEX"/>
  </we:alternateReferences>
  <we:properties>
    <we:property name="claude.fileId" value="&quot;c9a563e0-5098-49a1-b44e-a2a9802aa30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www.laterite.com/" TargetMode="External"/><Relationship Id="rId1" Type="http://schemas.openxmlformats.org/officeDocument/2006/relationships/hyperlink" Target="https://raisingthevillage.or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xchange-rates.org/exchange-rate-history/ugx-eur-2021?__cf_chl_f_tk=so0rpn..QrODQ_3yYxj7s85oeMMItuv0PVA_kdeECgs-1782903232-1.0.1.1-V1ppuO9TwtLwxiwhyQo6pwGGZ88SG3eIaLIYjRWbkO4" TargetMode="External"/><Relationship Id="rId7" Type="http://schemas.microsoft.com/office/2017/10/relationships/threadedComment" Target="../threadedComments/threadedComment2.xml"/><Relationship Id="rId2" Type="http://schemas.openxmlformats.org/officeDocument/2006/relationships/hyperlink" Target="https://www.imf.org/en/publications/weo/weo-database/2025/april/weo-report?c=644%2C&amp;s=NGDP_D%2C&amp;sy=2017&amp;ey=2030&amp;ssm=0&amp;scsm=1&amp;scc=0&amp;ssd=1&amp;ssc=0&amp;sic=0&amp;sort=country&amp;ds=.&amp;br=1" TargetMode="External"/><Relationship Id="rId1" Type="http://schemas.openxmlformats.org/officeDocument/2006/relationships/hyperlink" Target="https://www.herewegrow.org/wp-content/uploads/2026/06/HereWeGrow_Laterite_RTV-Baseline-Report_2025.pd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www.herewegrow.org/wp-content/uploads/2026/06/HereWeGrow_Laterite_RTV-Baseline-Report_2025.pdf" TargetMode="External"/><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D3F3-F596-485F-ACC5-D90C83F99006}">
  <dimension ref="A1:L67"/>
  <sheetViews>
    <sheetView showGridLines="0" topLeftCell="A22" zoomScaleNormal="100" workbookViewId="0">
      <selection activeCell="C26" sqref="C26"/>
    </sheetView>
  </sheetViews>
  <sheetFormatPr defaultColWidth="9.44140625" defaultRowHeight="14.4" x14ac:dyDescent="0.3"/>
  <cols>
    <col min="1" max="1" width="4.44140625" style="35" customWidth="1"/>
    <col min="2" max="2" width="30.5546875" style="35" customWidth="1"/>
    <col min="3" max="3" width="58" style="36" customWidth="1"/>
    <col min="4" max="4" width="16.44140625" customWidth="1"/>
    <col min="5" max="5" width="19.44140625" customWidth="1"/>
    <col min="6" max="6" width="16.5546875" customWidth="1"/>
    <col min="7" max="7" width="12" bestFit="1" customWidth="1"/>
    <col min="12" max="12" width="4.5546875" customWidth="1"/>
  </cols>
  <sheetData>
    <row r="1" spans="1:12" x14ac:dyDescent="0.3">
      <c r="A1" s="5"/>
      <c r="B1" s="6"/>
      <c r="C1" s="7"/>
      <c r="D1" s="8"/>
      <c r="E1" s="8"/>
      <c r="F1" s="8"/>
      <c r="G1" s="8"/>
      <c r="H1" s="8"/>
      <c r="I1" s="8"/>
      <c r="J1" s="8"/>
      <c r="K1" s="8"/>
      <c r="L1" s="9"/>
    </row>
    <row r="2" spans="1:12" ht="21" x14ac:dyDescent="0.35">
      <c r="A2" s="10"/>
      <c r="B2" s="11" t="s">
        <v>0</v>
      </c>
      <c r="C2" s="262" t="s">
        <v>1</v>
      </c>
      <c r="D2" s="263"/>
      <c r="E2" s="263"/>
      <c r="F2" s="12"/>
      <c r="G2" s="12"/>
      <c r="H2" s="12"/>
      <c r="I2" s="12"/>
      <c r="J2" s="12"/>
      <c r="K2" s="12"/>
      <c r="L2" s="13"/>
    </row>
    <row r="3" spans="1:12" x14ac:dyDescent="0.3">
      <c r="A3" s="14"/>
      <c r="B3" s="15"/>
      <c r="C3" s="16"/>
      <c r="D3" s="12"/>
      <c r="E3" s="12"/>
      <c r="F3" s="12"/>
      <c r="G3" s="12"/>
      <c r="H3" s="12"/>
      <c r="I3" s="12"/>
      <c r="J3" s="12"/>
      <c r="K3" s="12"/>
      <c r="L3" s="13"/>
    </row>
    <row r="4" spans="1:12" ht="18" x14ac:dyDescent="0.35">
      <c r="A4" s="17"/>
      <c r="B4" s="58" t="s">
        <v>2</v>
      </c>
      <c r="C4" s="19"/>
      <c r="D4" s="4"/>
      <c r="E4" s="190"/>
      <c r="F4" s="190"/>
      <c r="G4" s="190"/>
      <c r="H4" s="190"/>
      <c r="I4" s="20"/>
      <c r="J4" s="20"/>
      <c r="K4" s="20"/>
      <c r="L4" s="21"/>
    </row>
    <row r="5" spans="1:12" ht="10.199999999999999" customHeight="1" x14ac:dyDescent="0.35">
      <c r="A5" s="191"/>
      <c r="B5" s="22"/>
      <c r="C5" s="23"/>
      <c r="D5" s="24"/>
      <c r="E5" s="192"/>
      <c r="F5" s="192"/>
      <c r="G5" s="192"/>
      <c r="H5" s="192"/>
      <c r="I5" s="12"/>
      <c r="J5" s="12"/>
      <c r="K5" s="12"/>
      <c r="L5" s="13"/>
    </row>
    <row r="6" spans="1:12" ht="18" x14ac:dyDescent="0.35">
      <c r="A6" s="191"/>
      <c r="B6" s="25" t="s">
        <v>3</v>
      </c>
      <c r="C6" s="49" t="s">
        <v>4</v>
      </c>
      <c r="D6" s="26"/>
      <c r="E6" s="192"/>
      <c r="F6" s="192"/>
      <c r="G6" s="192"/>
      <c r="H6" s="192"/>
      <c r="I6" s="12"/>
      <c r="J6" s="12"/>
      <c r="K6" s="12"/>
      <c r="L6" s="13"/>
    </row>
    <row r="7" spans="1:12" x14ac:dyDescent="0.3">
      <c r="A7" s="191"/>
      <c r="B7" s="27" t="s">
        <v>5</v>
      </c>
      <c r="C7" s="93" t="s">
        <v>6</v>
      </c>
      <c r="D7" s="193"/>
      <c r="E7" s="192"/>
      <c r="F7" s="192"/>
      <c r="G7" s="192"/>
      <c r="H7" s="192"/>
      <c r="I7" s="12"/>
      <c r="J7" s="12"/>
      <c r="K7" s="12"/>
      <c r="L7" s="13"/>
    </row>
    <row r="8" spans="1:12" x14ac:dyDescent="0.3">
      <c r="A8" s="191"/>
      <c r="B8" s="27" t="s">
        <v>7</v>
      </c>
      <c r="C8" s="94" t="s">
        <v>8</v>
      </c>
      <c r="D8" s="28"/>
      <c r="E8" s="192"/>
      <c r="F8" s="192"/>
      <c r="G8" s="192"/>
      <c r="H8" s="192"/>
      <c r="I8" s="12"/>
      <c r="J8" s="12"/>
      <c r="K8" s="12"/>
      <c r="L8" s="13"/>
    </row>
    <row r="9" spans="1:12" x14ac:dyDescent="0.3">
      <c r="A9" s="191"/>
      <c r="B9" s="27" t="s">
        <v>9</v>
      </c>
      <c r="C9" s="194" t="s">
        <v>10</v>
      </c>
      <c r="D9" s="193"/>
      <c r="E9" s="192"/>
      <c r="F9" s="192"/>
      <c r="G9" s="192"/>
      <c r="H9" s="192"/>
      <c r="I9" s="12"/>
      <c r="J9" s="12"/>
      <c r="K9" s="12"/>
      <c r="L9" s="13"/>
    </row>
    <row r="10" spans="1:12" x14ac:dyDescent="0.3">
      <c r="A10" s="191"/>
      <c r="B10" s="27" t="s">
        <v>11</v>
      </c>
      <c r="C10" s="62" t="s">
        <v>12</v>
      </c>
      <c r="D10" s="193"/>
      <c r="E10" s="192"/>
      <c r="F10" s="192"/>
      <c r="G10" s="192"/>
      <c r="H10" s="192"/>
      <c r="I10" s="12"/>
      <c r="J10" s="12"/>
      <c r="K10" s="12"/>
      <c r="L10" s="13"/>
    </row>
    <row r="11" spans="1:12" x14ac:dyDescent="0.3">
      <c r="A11" s="191"/>
      <c r="B11" s="27" t="s">
        <v>13</v>
      </c>
      <c r="C11" s="195" t="s">
        <v>14</v>
      </c>
      <c r="D11" s="193"/>
      <c r="E11" s="192"/>
      <c r="F11" s="192"/>
      <c r="G11" s="192"/>
      <c r="H11" s="192"/>
      <c r="I11" s="12"/>
      <c r="J11" s="12"/>
      <c r="K11" s="12"/>
      <c r="L11" s="13"/>
    </row>
    <row r="12" spans="1:12" ht="72" x14ac:dyDescent="0.3">
      <c r="A12" s="191"/>
      <c r="B12" s="27" t="s">
        <v>15</v>
      </c>
      <c r="C12" s="194" t="s">
        <v>16</v>
      </c>
      <c r="D12" s="193"/>
      <c r="E12" s="192"/>
      <c r="F12" s="192"/>
      <c r="G12" s="192"/>
      <c r="H12" s="192"/>
      <c r="I12" s="12"/>
      <c r="J12" s="12"/>
      <c r="K12" s="12"/>
      <c r="L12" s="13"/>
    </row>
    <row r="13" spans="1:12" x14ac:dyDescent="0.3">
      <c r="A13" s="191"/>
      <c r="B13" s="27" t="s">
        <v>17</v>
      </c>
      <c r="C13" s="196">
        <f>SUM(SROI!C33:I33)</f>
        <v>3329531</v>
      </c>
      <c r="D13" s="193"/>
      <c r="E13" s="192"/>
      <c r="F13" s="192"/>
      <c r="G13" s="192"/>
      <c r="H13" s="192"/>
      <c r="I13" s="12"/>
      <c r="J13" s="12"/>
      <c r="K13" s="12"/>
      <c r="L13" s="13"/>
    </row>
    <row r="14" spans="1:12" x14ac:dyDescent="0.3">
      <c r="A14" s="191"/>
      <c r="B14" s="27" t="s">
        <v>18</v>
      </c>
      <c r="C14" s="197">
        <f>'Model input'!C27</f>
        <v>27600</v>
      </c>
      <c r="D14" s="193"/>
      <c r="E14" s="192"/>
      <c r="F14" s="192"/>
      <c r="G14" s="192"/>
      <c r="H14" s="192"/>
      <c r="I14" s="12"/>
      <c r="J14" s="12"/>
      <c r="K14" s="12"/>
      <c r="L14" s="13"/>
    </row>
    <row r="15" spans="1:12" x14ac:dyDescent="0.3">
      <c r="A15" s="191"/>
      <c r="B15" s="27" t="s">
        <v>19</v>
      </c>
      <c r="C15" s="198">
        <v>46204</v>
      </c>
      <c r="D15" s="193"/>
      <c r="E15" s="192"/>
      <c r="F15" s="192"/>
      <c r="G15" s="192"/>
      <c r="H15" s="192"/>
      <c r="I15" s="12"/>
      <c r="J15" s="12"/>
      <c r="K15" s="12"/>
      <c r="L15" s="13"/>
    </row>
    <row r="16" spans="1:12" x14ac:dyDescent="0.3">
      <c r="A16" s="191"/>
      <c r="B16" s="27" t="s">
        <v>20</v>
      </c>
      <c r="C16" s="198" t="s">
        <v>21</v>
      </c>
      <c r="D16" s="193"/>
      <c r="E16" s="192"/>
      <c r="F16" s="192"/>
      <c r="G16" s="192"/>
      <c r="H16" s="192"/>
      <c r="I16" s="12"/>
      <c r="J16" s="12"/>
      <c r="K16" s="12"/>
      <c r="L16" s="13"/>
    </row>
    <row r="17" spans="1:12" x14ac:dyDescent="0.3">
      <c r="A17" s="191"/>
      <c r="B17" s="29"/>
      <c r="C17" s="199"/>
      <c r="D17" s="192"/>
      <c r="E17" s="192"/>
      <c r="F17" s="192"/>
      <c r="G17" s="192"/>
      <c r="H17" s="192"/>
      <c r="I17" s="12"/>
      <c r="J17" s="12"/>
      <c r="K17" s="12"/>
      <c r="L17" s="13"/>
    </row>
    <row r="18" spans="1:12" ht="18" x14ac:dyDescent="0.35">
      <c r="A18" s="17"/>
      <c r="B18" s="18" t="s">
        <v>22</v>
      </c>
      <c r="C18" s="19"/>
      <c r="D18" s="4"/>
      <c r="E18" s="4"/>
      <c r="F18" s="4"/>
      <c r="G18" s="4"/>
      <c r="H18" s="4"/>
      <c r="I18" s="4"/>
      <c r="J18" s="4"/>
      <c r="K18" s="4"/>
      <c r="L18" s="30"/>
    </row>
    <row r="19" spans="1:12" ht="9.6" customHeight="1" x14ac:dyDescent="0.35">
      <c r="A19" s="31"/>
      <c r="B19" s="22"/>
      <c r="C19" s="23"/>
      <c r="D19" s="24"/>
      <c r="E19" s="192"/>
      <c r="F19" s="192"/>
      <c r="G19" s="192"/>
      <c r="H19" s="192"/>
      <c r="I19" s="12"/>
      <c r="J19" s="12"/>
      <c r="K19" s="12"/>
      <c r="L19" s="13"/>
    </row>
    <row r="20" spans="1:12" ht="18" x14ac:dyDescent="0.35">
      <c r="A20" s="32"/>
      <c r="B20" s="33" t="s">
        <v>23</v>
      </c>
      <c r="C20" s="68">
        <f>SROI!C53</f>
        <v>5.8831090854191102</v>
      </c>
      <c r="D20" s="12"/>
      <c r="E20" s="192"/>
      <c r="F20" s="192"/>
      <c r="G20" s="192"/>
      <c r="H20" s="192"/>
      <c r="I20" s="12"/>
      <c r="J20" s="12"/>
      <c r="K20" s="12"/>
      <c r="L20" s="13"/>
    </row>
    <row r="21" spans="1:12" x14ac:dyDescent="0.3">
      <c r="A21" s="34"/>
      <c r="B21" s="27" t="s">
        <v>24</v>
      </c>
      <c r="C21" s="194" t="s">
        <v>25</v>
      </c>
      <c r="D21" s="192"/>
      <c r="E21" s="192"/>
      <c r="F21" s="192"/>
      <c r="G21" s="192"/>
      <c r="H21" s="192"/>
      <c r="I21" s="12"/>
      <c r="J21" s="12"/>
      <c r="K21" s="12"/>
      <c r="L21" s="13"/>
    </row>
    <row r="22" spans="1:12" x14ac:dyDescent="0.3">
      <c r="A22" s="34"/>
      <c r="B22" s="27" t="s">
        <v>26</v>
      </c>
      <c r="C22" s="194" t="s">
        <v>27</v>
      </c>
      <c r="D22" s="12"/>
      <c r="E22" s="192"/>
      <c r="F22" s="192"/>
      <c r="G22" s="192"/>
      <c r="H22" s="192"/>
      <c r="I22" s="12"/>
      <c r="J22" s="12"/>
      <c r="K22" s="12"/>
      <c r="L22" s="13"/>
    </row>
    <row r="23" spans="1:12" x14ac:dyDescent="0.3">
      <c r="A23" s="34"/>
      <c r="B23" s="27" t="s">
        <v>28</v>
      </c>
      <c r="C23" s="200" t="s">
        <v>29</v>
      </c>
      <c r="D23" s="12"/>
      <c r="E23" s="192"/>
      <c r="F23" s="192"/>
      <c r="G23" s="192"/>
      <c r="H23" s="192"/>
      <c r="I23" s="12"/>
      <c r="J23" s="12"/>
      <c r="K23" s="12"/>
      <c r="L23" s="13"/>
    </row>
    <row r="24" spans="1:12" x14ac:dyDescent="0.3">
      <c r="A24" s="34"/>
      <c r="B24" s="29"/>
      <c r="C24" s="201"/>
      <c r="D24" s="12"/>
      <c r="E24" s="192"/>
      <c r="F24" s="192"/>
      <c r="G24" s="192"/>
      <c r="H24" s="192"/>
      <c r="I24" s="12"/>
      <c r="J24" s="12"/>
      <c r="K24" s="12"/>
      <c r="L24" s="13"/>
    </row>
    <row r="25" spans="1:12" ht="43.2" customHeight="1" x14ac:dyDescent="0.35">
      <c r="A25" s="31"/>
      <c r="B25" s="95" t="s">
        <v>30</v>
      </c>
      <c r="C25" s="202" t="s">
        <v>31</v>
      </c>
      <c r="D25" s="24"/>
      <c r="E25" s="192"/>
      <c r="F25" s="192"/>
      <c r="G25" s="192"/>
      <c r="H25" s="192"/>
      <c r="I25" s="12"/>
      <c r="J25" s="12"/>
      <c r="K25" s="12"/>
      <c r="L25" s="13"/>
    </row>
    <row r="26" spans="1:12" ht="18" x14ac:dyDescent="0.35">
      <c r="A26" s="31"/>
      <c r="B26" s="96" t="s">
        <v>32</v>
      </c>
      <c r="C26" s="203">
        <f>'Sensitivity analysis'!F32</f>
        <v>0.58705686810026081</v>
      </c>
      <c r="D26" s="24"/>
      <c r="E26" s="192"/>
      <c r="F26" s="192"/>
      <c r="G26" s="192"/>
      <c r="H26" s="192"/>
      <c r="I26" s="12"/>
      <c r="J26" s="12"/>
      <c r="K26" s="12"/>
      <c r="L26" s="13"/>
    </row>
    <row r="27" spans="1:12" ht="18" x14ac:dyDescent="0.35">
      <c r="A27" s="31"/>
      <c r="B27" s="96" t="s">
        <v>33</v>
      </c>
      <c r="C27" s="203">
        <f>'Sensitivity analysis'!J32</f>
        <v>5.8831090854191102</v>
      </c>
      <c r="D27" s="24"/>
      <c r="E27" s="192"/>
      <c r="F27" s="192"/>
      <c r="G27" s="192"/>
      <c r="H27" s="192"/>
      <c r="I27" s="12"/>
      <c r="J27" s="12"/>
      <c r="K27" s="12"/>
      <c r="L27" s="13"/>
    </row>
    <row r="28" spans="1:12" ht="18" x14ac:dyDescent="0.35">
      <c r="A28" s="31"/>
      <c r="B28" s="12"/>
      <c r="C28" s="12"/>
      <c r="D28" s="24"/>
      <c r="E28" s="192"/>
      <c r="F28" s="192"/>
      <c r="G28" s="192"/>
      <c r="H28" s="192"/>
      <c r="I28" s="12"/>
      <c r="J28" s="12"/>
      <c r="K28" s="12"/>
      <c r="L28" s="13"/>
    </row>
    <row r="29" spans="1:12" ht="18" x14ac:dyDescent="0.3">
      <c r="A29" s="17"/>
      <c r="B29" s="18" t="s">
        <v>34</v>
      </c>
      <c r="C29" s="18"/>
      <c r="D29" s="18"/>
      <c r="E29" s="190"/>
      <c r="F29" s="190"/>
      <c r="G29" s="190"/>
      <c r="H29" s="190"/>
      <c r="I29" s="20"/>
      <c r="J29" s="20"/>
      <c r="K29" s="20"/>
      <c r="L29" s="67"/>
    </row>
    <row r="30" spans="1:12" ht="9" customHeight="1" x14ac:dyDescent="0.35">
      <c r="A30" s="31"/>
      <c r="B30" s="22"/>
      <c r="C30" s="23"/>
      <c r="D30" s="24"/>
      <c r="E30" s="192"/>
      <c r="F30" s="192"/>
      <c r="G30" s="192"/>
      <c r="H30" s="192"/>
      <c r="I30" s="12"/>
      <c r="J30" s="12"/>
      <c r="K30" s="12"/>
      <c r="L30" s="13"/>
    </row>
    <row r="31" spans="1:12" ht="43.2" x14ac:dyDescent="0.3">
      <c r="A31" s="34"/>
      <c r="B31" s="27" t="s">
        <v>35</v>
      </c>
      <c r="C31" s="194" t="s">
        <v>36</v>
      </c>
      <c r="D31" s="192"/>
      <c r="E31" s="192"/>
      <c r="F31" s="192"/>
      <c r="G31" s="192"/>
      <c r="H31" s="192"/>
      <c r="I31" s="12"/>
      <c r="J31" s="12"/>
      <c r="K31" s="12"/>
      <c r="L31" s="13"/>
    </row>
    <row r="32" spans="1:12" x14ac:dyDescent="0.3">
      <c r="A32" s="34"/>
      <c r="B32" s="27" t="s">
        <v>37</v>
      </c>
      <c r="C32" s="194" t="s">
        <v>38</v>
      </c>
      <c r="D32" s="192"/>
      <c r="E32" s="192"/>
      <c r="F32" s="192"/>
      <c r="G32" s="192"/>
      <c r="H32" s="192"/>
      <c r="I32" s="12"/>
      <c r="J32" s="12"/>
      <c r="K32" s="12"/>
      <c r="L32" s="13"/>
    </row>
    <row r="33" spans="1:12" ht="100.8" x14ac:dyDescent="0.3">
      <c r="A33" s="34"/>
      <c r="B33" s="27" t="s">
        <v>39</v>
      </c>
      <c r="C33" s="194" t="s">
        <v>40</v>
      </c>
      <c r="D33" s="192"/>
      <c r="E33" s="192"/>
      <c r="F33" s="192"/>
      <c r="G33" s="192"/>
      <c r="H33" s="192"/>
      <c r="I33" s="12"/>
      <c r="J33" s="12"/>
      <c r="K33" s="12"/>
      <c r="L33" s="13"/>
    </row>
    <row r="34" spans="1:12" x14ac:dyDescent="0.3">
      <c r="A34" s="34"/>
      <c r="B34" s="27" t="s">
        <v>41</v>
      </c>
      <c r="C34" s="194" t="s">
        <v>42</v>
      </c>
      <c r="D34" s="192"/>
      <c r="E34" s="192"/>
      <c r="F34" s="192"/>
      <c r="G34" s="192"/>
      <c r="H34" s="192"/>
      <c r="I34" s="12"/>
      <c r="J34" s="12"/>
      <c r="K34" s="12"/>
      <c r="L34" s="13"/>
    </row>
    <row r="35" spans="1:12" x14ac:dyDescent="0.3">
      <c r="A35" s="34"/>
      <c r="B35" s="27" t="s">
        <v>43</v>
      </c>
      <c r="C35" s="194" t="s">
        <v>44</v>
      </c>
      <c r="D35" s="192"/>
      <c r="E35" s="192"/>
      <c r="F35" s="192"/>
      <c r="G35" s="192"/>
      <c r="H35" s="192"/>
      <c r="I35" s="12"/>
      <c r="J35" s="12"/>
      <c r="K35" s="12"/>
      <c r="L35" s="13"/>
    </row>
    <row r="36" spans="1:12" x14ac:dyDescent="0.3">
      <c r="A36" s="34"/>
      <c r="B36" s="27" t="s">
        <v>45</v>
      </c>
      <c r="C36" s="194" t="s">
        <v>46</v>
      </c>
      <c r="D36" s="192"/>
      <c r="E36" s="192"/>
      <c r="F36" s="192"/>
      <c r="G36" s="192"/>
      <c r="H36" s="192"/>
      <c r="I36" s="12"/>
      <c r="J36" s="12"/>
      <c r="K36" s="12"/>
      <c r="L36" s="13"/>
    </row>
    <row r="37" spans="1:12" x14ac:dyDescent="0.3">
      <c r="A37" s="204"/>
      <c r="B37" s="201"/>
      <c r="C37" s="199"/>
      <c r="D37" s="192"/>
      <c r="E37" s="192"/>
      <c r="F37" s="192"/>
      <c r="G37" s="192"/>
      <c r="H37" s="192"/>
      <c r="I37" s="12"/>
      <c r="J37" s="12"/>
      <c r="K37" s="12"/>
      <c r="L37" s="13"/>
    </row>
    <row r="38" spans="1:12" ht="18" x14ac:dyDescent="0.35">
      <c r="A38" s="17"/>
      <c r="B38" s="18" t="s">
        <v>47</v>
      </c>
      <c r="C38" s="19"/>
      <c r="D38" s="4"/>
      <c r="E38" s="190"/>
      <c r="F38" s="190"/>
      <c r="G38" s="190"/>
      <c r="H38" s="190"/>
      <c r="I38" s="20"/>
      <c r="J38" s="20"/>
      <c r="K38" s="20"/>
      <c r="L38" s="21"/>
    </row>
    <row r="39" spans="1:12" ht="18" x14ac:dyDescent="0.35">
      <c r="A39" s="31"/>
      <c r="B39" s="22"/>
      <c r="C39" s="23"/>
      <c r="D39" s="24"/>
      <c r="E39" s="192"/>
      <c r="F39" s="192"/>
      <c r="G39" s="192"/>
      <c r="H39" s="192"/>
      <c r="I39" s="12"/>
      <c r="J39" s="12"/>
      <c r="K39" s="12"/>
      <c r="L39" s="13"/>
    </row>
    <row r="40" spans="1:12" x14ac:dyDescent="0.3">
      <c r="A40" s="34"/>
      <c r="B40" s="60" t="s">
        <v>48</v>
      </c>
      <c r="C40" s="264" t="s">
        <v>49</v>
      </c>
      <c r="D40" s="265"/>
      <c r="E40" s="265"/>
      <c r="F40" s="265"/>
      <c r="G40" s="265"/>
      <c r="H40" s="265"/>
      <c r="I40" s="265"/>
      <c r="J40" s="98"/>
      <c r="K40" s="98"/>
      <c r="L40" s="99"/>
    </row>
    <row r="41" spans="1:12" x14ac:dyDescent="0.3">
      <c r="A41" s="34"/>
      <c r="B41" s="61" t="s">
        <v>50</v>
      </c>
      <c r="C41" s="264" t="s">
        <v>49</v>
      </c>
      <c r="D41" s="265"/>
      <c r="E41" s="265"/>
      <c r="F41" s="265"/>
      <c r="G41" s="265"/>
      <c r="H41" s="265"/>
      <c r="I41" s="265"/>
      <c r="J41" s="98"/>
      <c r="K41" s="98"/>
      <c r="L41" s="99"/>
    </row>
    <row r="42" spans="1:12" ht="28.8" x14ac:dyDescent="0.3">
      <c r="A42" s="34"/>
      <c r="B42" s="61" t="s">
        <v>51</v>
      </c>
      <c r="C42" s="266" t="s">
        <v>49</v>
      </c>
      <c r="D42" s="266"/>
      <c r="E42" s="266"/>
      <c r="F42" s="266"/>
      <c r="G42" s="266"/>
      <c r="H42" s="266"/>
      <c r="I42" s="267"/>
      <c r="J42" s="98"/>
      <c r="K42" s="98"/>
      <c r="L42" s="99"/>
    </row>
    <row r="43" spans="1:12" x14ac:dyDescent="0.3">
      <c r="A43" s="37"/>
      <c r="B43" s="38"/>
      <c r="C43" s="16"/>
      <c r="D43" s="12"/>
      <c r="E43" s="12"/>
      <c r="F43" s="12"/>
      <c r="G43" s="12"/>
      <c r="H43" s="12"/>
      <c r="I43" s="12"/>
      <c r="J43" s="12"/>
      <c r="K43" s="12"/>
      <c r="L43" s="13"/>
    </row>
    <row r="44" spans="1:12" ht="18" x14ac:dyDescent="0.35">
      <c r="A44" s="17"/>
      <c r="B44" s="18" t="s">
        <v>52</v>
      </c>
      <c r="C44" s="19"/>
      <c r="D44" s="4"/>
      <c r="E44" s="190"/>
      <c r="F44" s="190"/>
      <c r="G44" s="190"/>
      <c r="H44" s="190"/>
      <c r="I44" s="20"/>
      <c r="J44" s="20"/>
      <c r="K44" s="20"/>
      <c r="L44" s="21"/>
    </row>
    <row r="45" spans="1:12" x14ac:dyDescent="0.3">
      <c r="A45" s="37"/>
      <c r="B45" s="38"/>
      <c r="C45" s="16"/>
      <c r="D45" s="12"/>
      <c r="E45" s="12"/>
      <c r="F45" s="12"/>
      <c r="G45" s="12"/>
      <c r="H45" s="12"/>
      <c r="I45" s="12"/>
      <c r="J45" s="12"/>
      <c r="K45" s="12"/>
      <c r="L45" s="13"/>
    </row>
    <row r="46" spans="1:12" x14ac:dyDescent="0.3">
      <c r="A46" s="37"/>
      <c r="B46" s="38"/>
      <c r="C46" s="16"/>
      <c r="D46" s="12"/>
      <c r="E46" s="12"/>
      <c r="F46" s="12"/>
      <c r="G46" s="12"/>
      <c r="H46" s="12"/>
      <c r="I46" s="12"/>
      <c r="J46" s="12"/>
      <c r="K46" s="12"/>
      <c r="L46" s="13"/>
    </row>
    <row r="47" spans="1:12" x14ac:dyDescent="0.3">
      <c r="A47" s="37"/>
      <c r="B47" s="38"/>
      <c r="C47" s="16"/>
      <c r="D47" s="39"/>
      <c r="E47" s="12"/>
      <c r="F47" s="12"/>
      <c r="G47" s="12"/>
      <c r="H47" s="12"/>
      <c r="I47" s="12"/>
      <c r="J47" s="12"/>
      <c r="K47" s="12"/>
      <c r="L47" s="13"/>
    </row>
    <row r="48" spans="1:12" x14ac:dyDescent="0.3">
      <c r="A48" s="40"/>
      <c r="B48"/>
      <c r="C48" s="41"/>
      <c r="D48" s="39"/>
      <c r="E48" s="42"/>
      <c r="F48" s="43"/>
      <c r="G48" s="43"/>
      <c r="H48" s="12"/>
      <c r="I48" s="12"/>
      <c r="J48" s="12"/>
      <c r="K48" s="12"/>
      <c r="L48" s="13"/>
    </row>
    <row r="49" spans="1:12" x14ac:dyDescent="0.3">
      <c r="A49" s="40"/>
      <c r="B49"/>
      <c r="C49" s="41"/>
      <c r="D49" s="39"/>
      <c r="E49" s="42"/>
      <c r="H49" s="12"/>
      <c r="I49" s="12"/>
      <c r="J49" s="12"/>
      <c r="K49" s="12"/>
      <c r="L49" s="13"/>
    </row>
    <row r="50" spans="1:12" x14ac:dyDescent="0.3">
      <c r="A50" s="40"/>
      <c r="B50" t="s">
        <v>53</v>
      </c>
      <c r="C50" s="41">
        <f>SROI!C47</f>
        <v>749.30889365336827</v>
      </c>
      <c r="D50" s="39"/>
      <c r="E50" s="261"/>
      <c r="F50" s="48" t="s">
        <v>56</v>
      </c>
      <c r="G50" s="43">
        <f>SROI!C45</f>
        <v>20680925.464832965</v>
      </c>
      <c r="H50" s="12"/>
      <c r="I50" s="12"/>
      <c r="J50" s="12"/>
      <c r="K50" s="12"/>
      <c r="L50" s="13"/>
    </row>
    <row r="51" spans="1:12" x14ac:dyDescent="0.3">
      <c r="A51" s="37"/>
      <c r="B51" t="s">
        <v>55</v>
      </c>
      <c r="C51" s="41">
        <f>SROI!C41</f>
        <v>127.36613970162138</v>
      </c>
      <c r="D51" s="12"/>
      <c r="E51" s="261"/>
      <c r="F51" s="48" t="s">
        <v>54</v>
      </c>
      <c r="G51" s="43">
        <f>SROI!C38</f>
        <v>2490008.0311666979</v>
      </c>
      <c r="H51" s="12"/>
      <c r="I51" s="12"/>
      <c r="J51" s="12"/>
      <c r="K51" s="12"/>
      <c r="L51" s="13"/>
    </row>
    <row r="52" spans="1:12" x14ac:dyDescent="0.3">
      <c r="A52" s="37"/>
      <c r="B52" s="38" t="s">
        <v>57</v>
      </c>
      <c r="C52" s="41">
        <f>SROI!C48</f>
        <v>621.94275395174691</v>
      </c>
      <c r="D52" s="12"/>
      <c r="E52" s="261"/>
      <c r="F52" s="48" t="s">
        <v>58</v>
      </c>
      <c r="G52" s="43">
        <f>SROI!C46</f>
        <v>17165620.009068213</v>
      </c>
      <c r="H52" s="12"/>
      <c r="I52" s="12"/>
      <c r="J52" s="12"/>
      <c r="K52" s="12"/>
      <c r="L52" s="13"/>
    </row>
    <row r="53" spans="1:12" x14ac:dyDescent="0.3">
      <c r="A53" s="14"/>
      <c r="B53" s="15"/>
      <c r="C53" s="16"/>
      <c r="D53" s="12"/>
      <c r="E53" s="12"/>
      <c r="F53" s="12"/>
      <c r="G53" s="12"/>
      <c r="H53" s="12"/>
      <c r="I53" s="12"/>
      <c r="J53" s="12"/>
      <c r="K53" s="12"/>
      <c r="L53" s="13"/>
    </row>
    <row r="54" spans="1:12" x14ac:dyDescent="0.3">
      <c r="A54" s="14"/>
      <c r="B54" s="15"/>
      <c r="C54" s="16"/>
      <c r="D54" s="12"/>
      <c r="E54" s="12"/>
      <c r="F54" s="12"/>
      <c r="G54" s="12"/>
      <c r="H54" s="12"/>
      <c r="J54" s="12"/>
      <c r="K54" s="12"/>
      <c r="L54" s="13"/>
    </row>
    <row r="55" spans="1:12" x14ac:dyDescent="0.3">
      <c r="A55" s="14"/>
      <c r="B55" s="15"/>
      <c r="C55" s="16"/>
      <c r="D55" s="12"/>
      <c r="E55" s="12"/>
      <c r="F55" s="12"/>
      <c r="G55" s="12"/>
      <c r="H55" s="12"/>
      <c r="I55" s="12"/>
      <c r="J55" s="12"/>
      <c r="K55" s="12"/>
      <c r="L55" s="13"/>
    </row>
    <row r="56" spans="1:12" x14ac:dyDescent="0.3">
      <c r="A56" s="14"/>
      <c r="B56" s="15"/>
      <c r="C56" s="16"/>
      <c r="D56" s="12"/>
      <c r="E56" s="12"/>
      <c r="F56" s="12"/>
      <c r="G56" s="12"/>
      <c r="H56" s="12"/>
      <c r="I56" s="12"/>
      <c r="J56" s="12"/>
      <c r="K56" s="12"/>
      <c r="L56" s="13"/>
    </row>
    <row r="57" spans="1:12" x14ac:dyDescent="0.3">
      <c r="A57" s="14"/>
      <c r="B57" s="15"/>
      <c r="C57" s="16"/>
      <c r="D57" s="12"/>
      <c r="E57" s="12"/>
      <c r="F57" s="12"/>
      <c r="G57" s="12"/>
      <c r="H57" s="12"/>
      <c r="I57" s="12"/>
      <c r="J57" s="12"/>
      <c r="K57" s="12"/>
      <c r="L57" s="13"/>
    </row>
    <row r="58" spans="1:12" x14ac:dyDescent="0.3">
      <c r="A58" s="14"/>
      <c r="B58" s="15"/>
      <c r="C58" s="16"/>
      <c r="D58" s="12"/>
      <c r="E58" s="12"/>
      <c r="F58" s="12"/>
      <c r="G58" s="12"/>
      <c r="H58" s="12"/>
      <c r="I58" s="12"/>
      <c r="J58" s="12"/>
      <c r="K58" s="12"/>
      <c r="L58" s="13"/>
    </row>
    <row r="59" spans="1:12" x14ac:dyDescent="0.3">
      <c r="A59" s="14"/>
      <c r="B59" s="15"/>
      <c r="C59" s="16"/>
      <c r="D59" s="12"/>
      <c r="E59" s="12"/>
      <c r="F59" s="12"/>
      <c r="G59" s="12"/>
      <c r="H59" s="12"/>
      <c r="I59" s="12"/>
      <c r="J59" s="12"/>
      <c r="K59" s="12"/>
      <c r="L59" s="13"/>
    </row>
    <row r="60" spans="1:12" x14ac:dyDescent="0.3">
      <c r="A60" s="14"/>
      <c r="B60" s="15"/>
      <c r="C60" s="16"/>
      <c r="D60" s="12"/>
      <c r="E60" s="12"/>
      <c r="F60" s="12"/>
      <c r="G60" s="12"/>
      <c r="H60" s="12"/>
      <c r="I60" s="12"/>
      <c r="J60" s="12"/>
      <c r="K60" s="12"/>
      <c r="L60" s="13"/>
    </row>
    <row r="61" spans="1:12" x14ac:dyDescent="0.3">
      <c r="A61" s="14"/>
      <c r="B61" s="15"/>
      <c r="C61" s="16"/>
      <c r="D61" s="12"/>
      <c r="E61" s="12"/>
      <c r="F61" s="12"/>
      <c r="G61" s="12"/>
      <c r="H61" s="12"/>
      <c r="I61" s="12"/>
      <c r="J61" s="12"/>
      <c r="K61" s="12"/>
      <c r="L61" s="13"/>
    </row>
    <row r="62" spans="1:12" x14ac:dyDescent="0.3">
      <c r="A62" s="14"/>
      <c r="B62" s="15"/>
      <c r="C62" s="16"/>
      <c r="D62" s="12"/>
      <c r="E62" s="12"/>
      <c r="F62" s="12"/>
      <c r="G62" s="12"/>
      <c r="H62" s="12"/>
      <c r="I62" s="12"/>
      <c r="J62" s="12"/>
      <c r="K62" s="12"/>
      <c r="L62" s="13"/>
    </row>
    <row r="63" spans="1:12" x14ac:dyDescent="0.3">
      <c r="A63" s="14"/>
      <c r="B63" s="15"/>
      <c r="C63" s="16"/>
      <c r="D63" s="12"/>
      <c r="E63" s="12"/>
      <c r="F63" s="12"/>
      <c r="G63" s="12"/>
      <c r="H63" s="12"/>
      <c r="I63" s="12"/>
      <c r="J63" s="12"/>
      <c r="K63" s="12"/>
      <c r="L63" s="13"/>
    </row>
    <row r="64" spans="1:12" x14ac:dyDescent="0.3">
      <c r="A64" s="14"/>
      <c r="B64" s="15"/>
      <c r="C64" s="16"/>
      <c r="D64" s="12"/>
      <c r="E64" s="12"/>
      <c r="F64" s="12"/>
      <c r="G64" s="12"/>
      <c r="H64" s="12"/>
      <c r="I64" s="12"/>
      <c r="J64" s="12"/>
      <c r="K64" s="12"/>
      <c r="L64" s="13"/>
    </row>
    <row r="65" spans="1:12" x14ac:dyDescent="0.3">
      <c r="A65" s="14"/>
      <c r="B65" s="15"/>
      <c r="C65" s="16"/>
      <c r="D65" s="12"/>
      <c r="E65" s="12"/>
      <c r="F65" s="12"/>
      <c r="G65" s="12"/>
      <c r="H65" s="12"/>
      <c r="I65" s="12"/>
      <c r="J65" s="12"/>
      <c r="K65" s="12"/>
      <c r="L65" s="13"/>
    </row>
    <row r="66" spans="1:12" x14ac:dyDescent="0.3">
      <c r="A66" s="12"/>
      <c r="B66" s="12"/>
      <c r="C66" s="12"/>
      <c r="D66" s="12"/>
      <c r="E66" s="12"/>
      <c r="F66" s="12"/>
      <c r="G66" s="12"/>
      <c r="H66" s="12"/>
      <c r="I66" s="12"/>
      <c r="J66" s="12"/>
      <c r="K66" s="12"/>
      <c r="L66" s="13"/>
    </row>
    <row r="67" spans="1:12" ht="15.6" x14ac:dyDescent="0.3">
      <c r="A67" s="44"/>
      <c r="B67" s="59" t="s">
        <v>59</v>
      </c>
      <c r="C67" s="45"/>
      <c r="D67" s="46"/>
      <c r="E67" s="46"/>
      <c r="F67" s="46"/>
      <c r="G67" s="46"/>
      <c r="H67" s="46"/>
      <c r="I67" s="46"/>
      <c r="J67" s="46"/>
      <c r="K67" s="46"/>
      <c r="L67" s="47"/>
    </row>
  </sheetData>
  <mergeCells count="5">
    <mergeCell ref="E50:E52"/>
    <mergeCell ref="C2:E2"/>
    <mergeCell ref="C40:I40"/>
    <mergeCell ref="C41:I41"/>
    <mergeCell ref="C42:I42"/>
  </mergeCells>
  <conditionalFormatting sqref="C22 C25:C27">
    <cfRule type="cellIs" dxfId="15" priority="8" operator="equal">
      <formula>"High"</formula>
    </cfRule>
    <cfRule type="cellIs" dxfId="14" priority="9" operator="equal">
      <formula>"Medium"</formula>
    </cfRule>
    <cfRule type="cellIs" dxfId="13" priority="10" operator="equal">
      <formula>"Low"</formula>
    </cfRule>
  </conditionalFormatting>
  <conditionalFormatting sqref="C36">
    <cfRule type="cellIs" dxfId="12" priority="5" operator="equal">
      <formula>"Excellent"</formula>
    </cfRule>
    <cfRule type="cellIs" dxfId="11" priority="6" operator="equal">
      <formula>"Good"</formula>
    </cfRule>
    <cfRule type="cellIs" dxfId="10" priority="7" operator="equal">
      <formula>"Fair"</formula>
    </cfRule>
  </conditionalFormatting>
  <dataValidations count="3">
    <dataValidation type="list" allowBlank="1" showInputMessage="1" showErrorMessage="1" sqref="C22" xr:uid="{F4282980-838A-453C-9606-A29EE1C87F72}">
      <formula1>"Low, Medium, High"</formula1>
    </dataValidation>
    <dataValidation type="list" allowBlank="1" showInputMessage="1" showErrorMessage="1" sqref="C36" xr:uid="{86752230-D154-4F66-B2F9-5A4438981BAF}">
      <formula1>"Fair, Good, Excellent"</formula1>
    </dataValidation>
    <dataValidation type="list" allowBlank="1" showInputMessage="1" showErrorMessage="1" sqref="C21" xr:uid="{4F45852F-BF30-411E-A0E1-77B0B68C0BE5}">
      <formula1>"Forecast, Evaluative"</formula1>
    </dataValidation>
  </dataValidations>
  <hyperlinks>
    <hyperlink ref="C7" r:id="rId1" xr:uid="{85D6F614-584D-4912-8816-D73C35FC01B6}"/>
    <hyperlink ref="C8" r:id="rId2" xr:uid="{8D896380-F32D-4362-8961-7D66FDBF6AF5}"/>
  </hyperlinks>
  <pageMargins left="0.7" right="0.7" top="0.75" bottom="0.75" header="0.3" footer="0.3"/>
  <pageSetup paperSize="9" orientation="portrait" horizontalDpi="1200" verticalDpi="12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6C36-EF32-47F7-89EB-BE6C9657B113}">
  <dimension ref="A1:U66"/>
  <sheetViews>
    <sheetView showGridLines="0" workbookViewId="0">
      <selection activeCell="X78" sqref="X78"/>
    </sheetView>
  </sheetViews>
  <sheetFormatPr defaultColWidth="9.44140625" defaultRowHeight="14.4" x14ac:dyDescent="0.3"/>
  <cols>
    <col min="1" max="1" width="9.44140625" customWidth="1"/>
  </cols>
  <sheetData>
    <row r="1" spans="1:20" ht="18" x14ac:dyDescent="0.35">
      <c r="A1" s="101"/>
      <c r="B1" s="102" t="s">
        <v>60</v>
      </c>
      <c r="C1" s="103"/>
      <c r="D1" s="103"/>
      <c r="E1" s="103"/>
      <c r="F1" s="103"/>
      <c r="G1" s="103"/>
      <c r="H1" s="103"/>
      <c r="I1" s="103"/>
      <c r="J1" s="103"/>
      <c r="K1" s="103"/>
      <c r="L1" s="103"/>
      <c r="M1" s="103"/>
      <c r="N1" s="103"/>
      <c r="O1" s="103"/>
      <c r="P1" s="103"/>
      <c r="Q1" s="103"/>
      <c r="R1" s="103"/>
      <c r="S1" s="103"/>
      <c r="T1" s="104"/>
    </row>
    <row r="2" spans="1:20" x14ac:dyDescent="0.3">
      <c r="T2" s="51"/>
    </row>
    <row r="3" spans="1:20" x14ac:dyDescent="0.3">
      <c r="T3" s="51"/>
    </row>
    <row r="4" spans="1:20" x14ac:dyDescent="0.3">
      <c r="T4" s="51"/>
    </row>
    <row r="5" spans="1:20" x14ac:dyDescent="0.3">
      <c r="T5" s="51"/>
    </row>
    <row r="6" spans="1:20" x14ac:dyDescent="0.3">
      <c r="T6" s="51"/>
    </row>
    <row r="7" spans="1:20" x14ac:dyDescent="0.3">
      <c r="T7" s="51"/>
    </row>
    <row r="8" spans="1:20" x14ac:dyDescent="0.3">
      <c r="T8" s="51"/>
    </row>
    <row r="9" spans="1:20" x14ac:dyDescent="0.3">
      <c r="T9" s="51"/>
    </row>
    <row r="10" spans="1:20" x14ac:dyDescent="0.3">
      <c r="T10" s="51"/>
    </row>
    <row r="11" spans="1:20" x14ac:dyDescent="0.3">
      <c r="T11" s="51"/>
    </row>
    <row r="12" spans="1:20" x14ac:dyDescent="0.3">
      <c r="T12" s="51"/>
    </row>
    <row r="13" spans="1:20" x14ac:dyDescent="0.3">
      <c r="T13" s="51"/>
    </row>
    <row r="14" spans="1:20" x14ac:dyDescent="0.3">
      <c r="T14" s="51"/>
    </row>
    <row r="15" spans="1:20" x14ac:dyDescent="0.3">
      <c r="T15" s="51"/>
    </row>
    <row r="16" spans="1:20" x14ac:dyDescent="0.3">
      <c r="T16" s="51"/>
    </row>
    <row r="17" spans="1:20" x14ac:dyDescent="0.3">
      <c r="T17" s="51"/>
    </row>
    <row r="18" spans="1:20" x14ac:dyDescent="0.3">
      <c r="T18" s="51"/>
    </row>
    <row r="19" spans="1:20" x14ac:dyDescent="0.3">
      <c r="T19" s="51"/>
    </row>
    <row r="20" spans="1:20" x14ac:dyDescent="0.3">
      <c r="T20" s="51"/>
    </row>
    <row r="21" spans="1:20" x14ac:dyDescent="0.3">
      <c r="T21" s="51"/>
    </row>
    <row r="22" spans="1:20" x14ac:dyDescent="0.3">
      <c r="T22" s="51"/>
    </row>
    <row r="23" spans="1:20" x14ac:dyDescent="0.3">
      <c r="T23" s="51"/>
    </row>
    <row r="24" spans="1:20" x14ac:dyDescent="0.3">
      <c r="T24" s="51"/>
    </row>
    <row r="25" spans="1:20" x14ac:dyDescent="0.3">
      <c r="T25" s="51"/>
    </row>
    <row r="26" spans="1:20" x14ac:dyDescent="0.3">
      <c r="T26" s="51"/>
    </row>
    <row r="27" spans="1:20" ht="18" x14ac:dyDescent="0.35">
      <c r="A27" s="105"/>
      <c r="B27" s="106" t="s">
        <v>61</v>
      </c>
      <c r="C27" s="4"/>
      <c r="D27" s="4"/>
      <c r="E27" s="4"/>
      <c r="F27" s="4"/>
      <c r="G27" s="4"/>
      <c r="H27" s="4"/>
      <c r="I27" s="4"/>
      <c r="J27" s="4"/>
      <c r="K27" s="4"/>
      <c r="L27" s="4"/>
      <c r="M27" s="4"/>
      <c r="N27" s="4"/>
      <c r="O27" s="4"/>
      <c r="P27" s="4"/>
      <c r="Q27" s="4"/>
      <c r="R27" s="4"/>
      <c r="S27" s="4"/>
      <c r="T27" s="54"/>
    </row>
    <row r="28" spans="1:20" x14ac:dyDescent="0.3">
      <c r="T28" s="51"/>
    </row>
    <row r="29" spans="1:20" x14ac:dyDescent="0.3">
      <c r="T29" s="51"/>
    </row>
    <row r="30" spans="1:20" x14ac:dyDescent="0.3">
      <c r="T30" s="51"/>
    </row>
    <row r="31" spans="1:20" x14ac:dyDescent="0.3">
      <c r="T31" s="51"/>
    </row>
    <row r="32" spans="1:20" x14ac:dyDescent="0.3">
      <c r="T32" s="51"/>
    </row>
    <row r="33" spans="20:20" x14ac:dyDescent="0.3">
      <c r="T33" s="51"/>
    </row>
    <row r="34" spans="20:20" x14ac:dyDescent="0.3">
      <c r="T34" s="51"/>
    </row>
    <row r="35" spans="20:20" x14ac:dyDescent="0.3">
      <c r="T35" s="51"/>
    </row>
    <row r="36" spans="20:20" x14ac:dyDescent="0.3">
      <c r="T36" s="51"/>
    </row>
    <row r="37" spans="20:20" x14ac:dyDescent="0.3">
      <c r="T37" s="51"/>
    </row>
    <row r="38" spans="20:20" x14ac:dyDescent="0.3">
      <c r="T38" s="51"/>
    </row>
    <row r="39" spans="20:20" x14ac:dyDescent="0.3">
      <c r="T39" s="51"/>
    </row>
    <row r="40" spans="20:20" x14ac:dyDescent="0.3">
      <c r="T40" s="51"/>
    </row>
    <row r="41" spans="20:20" x14ac:dyDescent="0.3">
      <c r="T41" s="51"/>
    </row>
    <row r="42" spans="20:20" x14ac:dyDescent="0.3">
      <c r="T42" s="51"/>
    </row>
    <row r="43" spans="20:20" x14ac:dyDescent="0.3">
      <c r="T43" s="51"/>
    </row>
    <row r="44" spans="20:20" x14ac:dyDescent="0.3">
      <c r="T44" s="51"/>
    </row>
    <row r="45" spans="20:20" x14ac:dyDescent="0.3">
      <c r="T45" s="51"/>
    </row>
    <row r="46" spans="20:20" x14ac:dyDescent="0.3">
      <c r="T46" s="51"/>
    </row>
    <row r="47" spans="20:20" x14ac:dyDescent="0.3">
      <c r="T47" s="51"/>
    </row>
    <row r="48" spans="20:20" x14ac:dyDescent="0.3">
      <c r="T48" s="51"/>
    </row>
    <row r="49" spans="20:21" x14ac:dyDescent="0.3">
      <c r="T49" s="51"/>
    </row>
    <row r="50" spans="20:21" x14ac:dyDescent="0.3">
      <c r="T50" s="51"/>
    </row>
    <row r="51" spans="20:21" x14ac:dyDescent="0.3">
      <c r="T51" s="51"/>
    </row>
    <row r="52" spans="20:21" x14ac:dyDescent="0.3">
      <c r="T52" s="51"/>
    </row>
    <row r="53" spans="20:21" x14ac:dyDescent="0.3">
      <c r="T53" s="51"/>
    </row>
    <row r="54" spans="20:21" x14ac:dyDescent="0.3">
      <c r="T54" s="51"/>
    </row>
    <row r="55" spans="20:21" x14ac:dyDescent="0.3">
      <c r="T55" s="51"/>
    </row>
    <row r="56" spans="20:21" x14ac:dyDescent="0.3">
      <c r="T56" s="51"/>
    </row>
    <row r="57" spans="20:21" x14ac:dyDescent="0.3">
      <c r="T57" s="51"/>
    </row>
    <row r="58" spans="20:21" x14ac:dyDescent="0.3">
      <c r="T58" s="51"/>
    </row>
    <row r="59" spans="20:21" x14ac:dyDescent="0.3">
      <c r="T59" s="51"/>
    </row>
    <row r="60" spans="20:21" x14ac:dyDescent="0.3">
      <c r="T60" s="51"/>
    </row>
    <row r="61" spans="20:21" x14ac:dyDescent="0.3">
      <c r="T61" s="51"/>
    </row>
    <row r="62" spans="20:21" x14ac:dyDescent="0.3">
      <c r="T62" s="51"/>
    </row>
    <row r="63" spans="20:21" x14ac:dyDescent="0.3">
      <c r="U63" s="53"/>
    </row>
    <row r="64" spans="20:21" x14ac:dyDescent="0.3">
      <c r="T64" s="51"/>
    </row>
    <row r="65" spans="1:20" x14ac:dyDescent="0.3">
      <c r="T65" s="51"/>
    </row>
    <row r="66" spans="1:20" x14ac:dyDescent="0.3">
      <c r="A66" s="55"/>
      <c r="B66" s="55"/>
      <c r="C66" s="55"/>
      <c r="D66" s="55"/>
      <c r="E66" s="55"/>
      <c r="F66" s="55"/>
      <c r="G66" s="55"/>
      <c r="H66" s="55"/>
      <c r="I66" s="55"/>
      <c r="J66" s="55"/>
      <c r="K66" s="55"/>
      <c r="L66" s="55"/>
      <c r="M66" s="55"/>
      <c r="N66" s="55"/>
      <c r="O66" s="55"/>
      <c r="P66" s="55"/>
      <c r="Q66" s="55"/>
      <c r="R66" s="55"/>
      <c r="S66" s="55"/>
      <c r="T66" s="5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S40"/>
  <sheetViews>
    <sheetView showGridLines="0" topLeftCell="A2" zoomScale="90" zoomScaleNormal="90" workbookViewId="0">
      <selection activeCell="C16" sqref="C16"/>
    </sheetView>
  </sheetViews>
  <sheetFormatPr defaultColWidth="9.44140625" defaultRowHeight="14.4" x14ac:dyDescent="0.3"/>
  <cols>
    <col min="1" max="1" width="3.109375" customWidth="1"/>
    <col min="2" max="2" width="47.6640625" customWidth="1"/>
    <col min="3" max="3" width="29.5546875" customWidth="1"/>
    <col min="4" max="4" width="20.33203125" customWidth="1"/>
    <col min="5" max="5" width="29.33203125" customWidth="1"/>
    <col min="6" max="6" width="22.44140625" customWidth="1"/>
    <col min="7" max="7" width="14" customWidth="1"/>
    <col min="8" max="8" width="12.44140625" customWidth="1"/>
    <col min="9" max="9" width="13.44140625" customWidth="1"/>
    <col min="10" max="10" width="11.6640625" customWidth="1"/>
    <col min="11" max="11" width="13.44140625" customWidth="1"/>
    <col min="12" max="12" width="10.6640625" customWidth="1"/>
    <col min="13" max="13" width="12.6640625" customWidth="1"/>
    <col min="14" max="14" width="11.5546875" customWidth="1"/>
    <col min="15" max="15" width="10.5546875" customWidth="1"/>
  </cols>
  <sheetData>
    <row r="1" spans="1:19" ht="21.6" customHeight="1" x14ac:dyDescent="0.35">
      <c r="A1" s="20"/>
      <c r="B1" s="106" t="s">
        <v>62</v>
      </c>
      <c r="C1" s="135"/>
      <c r="D1" s="151"/>
      <c r="E1" s="135"/>
      <c r="F1" s="135"/>
      <c r="G1" s="135"/>
      <c r="H1" s="135"/>
      <c r="I1" s="135"/>
      <c r="J1" s="135"/>
      <c r="K1" s="135"/>
      <c r="L1" s="135"/>
      <c r="M1" s="135"/>
      <c r="N1" s="135"/>
      <c r="O1" s="135"/>
      <c r="P1" s="136"/>
      <c r="Q1" s="136"/>
      <c r="R1" s="137"/>
    </row>
    <row r="2" spans="1:19" ht="9" customHeight="1" x14ac:dyDescent="0.35">
      <c r="A2" s="50"/>
      <c r="B2" s="145"/>
      <c r="C2" s="131"/>
      <c r="D2" s="132"/>
      <c r="R2" s="51"/>
    </row>
    <row r="3" spans="1:19" x14ac:dyDescent="0.3">
      <c r="A3" s="50"/>
      <c r="B3" s="107" t="s">
        <v>63</v>
      </c>
      <c r="C3" s="130" t="s">
        <v>38</v>
      </c>
      <c r="E3" s="268" t="s">
        <v>64</v>
      </c>
      <c r="F3" s="268"/>
      <c r="G3" s="268"/>
      <c r="H3" s="268"/>
      <c r="I3" s="268"/>
      <c r="J3" s="268"/>
      <c r="R3" s="51"/>
    </row>
    <row r="4" spans="1:19" x14ac:dyDescent="0.3">
      <c r="A4" s="50"/>
      <c r="B4" s="107" t="s">
        <v>65</v>
      </c>
      <c r="C4" s="108">
        <v>2024</v>
      </c>
      <c r="E4" s="269" t="s">
        <v>66</v>
      </c>
      <c r="F4" s="269"/>
      <c r="G4" s="269"/>
      <c r="H4" s="269"/>
      <c r="I4" s="269"/>
      <c r="J4" s="269"/>
      <c r="R4" s="51"/>
    </row>
    <row r="5" spans="1:19" x14ac:dyDescent="0.3">
      <c r="A5" s="50"/>
      <c r="B5" s="107" t="s">
        <v>67</v>
      </c>
      <c r="C5" s="108">
        <v>2021</v>
      </c>
      <c r="E5" s="270" t="s">
        <v>68</v>
      </c>
      <c r="F5" s="270"/>
      <c r="G5" s="270"/>
      <c r="H5" s="270"/>
      <c r="I5" s="270"/>
      <c r="J5" s="270"/>
      <c r="R5" s="51"/>
    </row>
    <row r="6" spans="1:19" x14ac:dyDescent="0.3">
      <c r="A6" s="50"/>
      <c r="B6" s="107" t="s">
        <v>69</v>
      </c>
      <c r="C6" s="108" t="s">
        <v>70</v>
      </c>
      <c r="R6" s="51"/>
    </row>
    <row r="7" spans="1:19" x14ac:dyDescent="0.3">
      <c r="A7" s="53"/>
      <c r="E7" s="133"/>
      <c r="F7" s="134"/>
      <c r="R7" s="51"/>
    </row>
    <row r="8" spans="1:19" ht="6.6" customHeight="1" x14ac:dyDescent="0.3">
      <c r="A8" s="53"/>
      <c r="R8" s="51"/>
    </row>
    <row r="9" spans="1:19" ht="21" customHeight="1" x14ac:dyDescent="0.35">
      <c r="A9" s="20"/>
      <c r="B9" s="106" t="s">
        <v>71</v>
      </c>
      <c r="C9" s="135"/>
      <c r="D9" s="135"/>
      <c r="E9" s="135"/>
      <c r="F9" s="135"/>
      <c r="G9" s="135"/>
      <c r="H9" s="135"/>
      <c r="I9" s="135"/>
      <c r="J9" s="135"/>
      <c r="K9" s="135"/>
      <c r="L9" s="135"/>
      <c r="M9" s="135"/>
      <c r="N9" s="135"/>
      <c r="O9" s="135"/>
      <c r="P9" s="136"/>
      <c r="Q9" s="136"/>
      <c r="R9" s="137"/>
    </row>
    <row r="10" spans="1:19" ht="15" customHeight="1" x14ac:dyDescent="0.35">
      <c r="B10" s="146"/>
      <c r="C10" s="138"/>
      <c r="D10" s="138"/>
      <c r="E10" s="138"/>
      <c r="F10" s="138"/>
      <c r="G10" s="138"/>
      <c r="H10" s="138"/>
      <c r="I10" s="138"/>
      <c r="J10" s="138"/>
      <c r="K10" s="138"/>
      <c r="L10" s="138"/>
      <c r="M10" s="138"/>
      <c r="N10" s="138"/>
      <c r="O10" s="138"/>
      <c r="P10" s="128"/>
      <c r="Q10" s="128"/>
      <c r="R10" s="139"/>
      <c r="S10" s="128"/>
    </row>
    <row r="11" spans="1:19" ht="15" customHeight="1" x14ac:dyDescent="0.3">
      <c r="B11" s="129" t="s">
        <v>72</v>
      </c>
      <c r="C11" s="129" t="s">
        <v>73</v>
      </c>
      <c r="D11" s="138"/>
      <c r="E11" s="138"/>
      <c r="F11" s="138"/>
      <c r="G11" s="138"/>
      <c r="H11" s="138"/>
      <c r="I11" s="138"/>
      <c r="J11" s="138"/>
      <c r="K11" s="138"/>
      <c r="L11" s="138"/>
      <c r="M11" s="138"/>
      <c r="N11" s="138"/>
      <c r="O11" s="138"/>
      <c r="P11" s="128"/>
      <c r="Q11" s="128"/>
      <c r="R11" s="139"/>
      <c r="S11" s="128"/>
    </row>
    <row r="12" spans="1:19" ht="14.25" customHeight="1" x14ac:dyDescent="0.3">
      <c r="A12" s="53"/>
      <c r="B12" s="205" t="s">
        <v>74</v>
      </c>
      <c r="C12" s="206">
        <f>'Sensitivity analysis'!C5</f>
        <v>0.1</v>
      </c>
      <c r="R12" s="51"/>
    </row>
    <row r="13" spans="1:19" ht="17.25" customHeight="1" x14ac:dyDescent="0.3">
      <c r="B13" s="207"/>
      <c r="C13" s="207"/>
      <c r="R13" s="51"/>
    </row>
    <row r="14" spans="1:19" ht="17.25" customHeight="1" x14ac:dyDescent="0.3">
      <c r="A14" s="150"/>
      <c r="B14" s="140" t="s">
        <v>75</v>
      </c>
      <c r="C14" s="140"/>
      <c r="D14" s="140"/>
      <c r="E14" s="140"/>
      <c r="F14" s="140"/>
      <c r="G14" s="140"/>
      <c r="H14" s="140"/>
      <c r="I14" s="140"/>
      <c r="J14" s="140"/>
      <c r="K14" s="140"/>
      <c r="L14" s="140"/>
      <c r="M14" s="140"/>
      <c r="N14" s="140"/>
      <c r="O14" s="140"/>
      <c r="P14" s="140"/>
      <c r="Q14" s="140"/>
      <c r="R14" s="141"/>
    </row>
    <row r="15" spans="1:19" x14ac:dyDescent="0.3">
      <c r="A15" s="62"/>
      <c r="B15" s="109" t="s">
        <v>72</v>
      </c>
      <c r="C15" s="109" t="s">
        <v>73</v>
      </c>
      <c r="D15" s="109" t="s">
        <v>76</v>
      </c>
      <c r="E15" s="109" t="s">
        <v>77</v>
      </c>
      <c r="R15" s="51"/>
    </row>
    <row r="16" spans="1:19" ht="16.2" customHeight="1" x14ac:dyDescent="0.3">
      <c r="A16" s="62"/>
      <c r="B16" s="110" t="s">
        <v>78</v>
      </c>
      <c r="C16" s="112">
        <f>'Sensitivity analysis'!C6</f>
        <v>6764419</v>
      </c>
      <c r="D16" s="100" t="s">
        <v>79</v>
      </c>
      <c r="E16" s="111" t="s">
        <v>80</v>
      </c>
      <c r="R16" s="51"/>
    </row>
    <row r="17" spans="1:18" x14ac:dyDescent="0.3">
      <c r="A17" s="62"/>
      <c r="B17" s="110" t="s">
        <v>81</v>
      </c>
      <c r="C17" s="113">
        <f>'Sensitivity analysis'!C7</f>
        <v>0.1</v>
      </c>
      <c r="D17" s="110" t="s">
        <v>82</v>
      </c>
      <c r="E17" s="110" t="s">
        <v>83</v>
      </c>
      <c r="R17" s="51"/>
    </row>
    <row r="18" spans="1:18" x14ac:dyDescent="0.3">
      <c r="A18" s="142"/>
      <c r="B18" s="142"/>
      <c r="C18" s="142"/>
      <c r="D18" s="142"/>
      <c r="E18" s="142"/>
      <c r="F18" s="142"/>
      <c r="G18" s="142"/>
      <c r="H18" s="142"/>
      <c r="I18" s="142"/>
      <c r="J18" s="142"/>
      <c r="K18" s="142"/>
      <c r="L18" s="142"/>
      <c r="M18" s="142"/>
      <c r="N18" s="142"/>
      <c r="O18" s="142"/>
      <c r="P18" s="143"/>
      <c r="Q18" s="143"/>
      <c r="R18" s="144"/>
    </row>
    <row r="19" spans="1:18" x14ac:dyDescent="0.3">
      <c r="B19" s="140" t="s">
        <v>84</v>
      </c>
      <c r="F19" s="140" t="s">
        <v>85</v>
      </c>
      <c r="R19" s="51"/>
    </row>
    <row r="20" spans="1:18" x14ac:dyDescent="0.3">
      <c r="B20" s="114" t="s">
        <v>86</v>
      </c>
      <c r="C20" s="114" t="s">
        <v>87</v>
      </c>
      <c r="D20" s="114" t="s">
        <v>88</v>
      </c>
      <c r="E20" s="208"/>
      <c r="F20" s="114" t="s">
        <v>89</v>
      </c>
      <c r="G20" s="114" t="s">
        <v>90</v>
      </c>
      <c r="H20" s="114" t="s">
        <v>91</v>
      </c>
      <c r="I20" s="208"/>
      <c r="J20" s="208"/>
      <c r="R20" s="51"/>
    </row>
    <row r="21" spans="1:18" x14ac:dyDescent="0.3">
      <c r="B21" s="110" t="s">
        <v>92</v>
      </c>
      <c r="C21" s="117">
        <f>6000/5</f>
        <v>1200</v>
      </c>
      <c r="D21" s="117">
        <v>1345</v>
      </c>
      <c r="E21" s="208"/>
      <c r="F21" s="110">
        <v>0.5</v>
      </c>
      <c r="G21" s="119">
        <f>C26</f>
        <v>5600</v>
      </c>
      <c r="H21" s="120">
        <f>G21/$G$25</f>
        <v>0.20289855072463769</v>
      </c>
      <c r="I21" s="208"/>
      <c r="J21" s="208"/>
      <c r="R21" s="51"/>
    </row>
    <row r="22" spans="1:18" x14ac:dyDescent="0.3">
      <c r="B22" s="110" t="s">
        <v>93</v>
      </c>
      <c r="C22" s="117">
        <f>27000/5</f>
        <v>5400</v>
      </c>
      <c r="D22" s="117">
        <f>2057+4906</f>
        <v>6963</v>
      </c>
      <c r="E22" s="208"/>
      <c r="F22" s="110">
        <v>1</v>
      </c>
      <c r="G22" s="119">
        <f>C25</f>
        <v>5000</v>
      </c>
      <c r="H22" s="120">
        <f>G22/$G$25</f>
        <v>0.18115942028985507</v>
      </c>
      <c r="I22" s="208"/>
      <c r="J22" s="208"/>
      <c r="R22" s="51"/>
    </row>
    <row r="23" spans="1:18" x14ac:dyDescent="0.3">
      <c r="B23" s="110" t="s">
        <v>94</v>
      </c>
      <c r="C23" s="117">
        <f>25000/5</f>
        <v>5000</v>
      </c>
      <c r="D23" s="117">
        <f>2014+2087</f>
        <v>4101</v>
      </c>
      <c r="E23" s="208"/>
      <c r="F23" s="110">
        <v>1.5</v>
      </c>
      <c r="G23" s="119">
        <f>C24</f>
        <v>5400</v>
      </c>
      <c r="H23" s="120">
        <f>G23/$G$25</f>
        <v>0.19565217391304349</v>
      </c>
      <c r="I23" s="208"/>
      <c r="J23" s="208"/>
      <c r="R23" s="51"/>
    </row>
    <row r="24" spans="1:18" x14ac:dyDescent="0.3">
      <c r="B24" s="110" t="s">
        <v>95</v>
      </c>
      <c r="C24" s="117">
        <f>27000/5</f>
        <v>5400</v>
      </c>
      <c r="D24" s="117">
        <f>3121+2313</f>
        <v>5434</v>
      </c>
      <c r="E24" s="208"/>
      <c r="F24" s="110" t="s">
        <v>96</v>
      </c>
      <c r="G24" s="119">
        <f>C23+C22+C21</f>
        <v>11600</v>
      </c>
      <c r="H24" s="120">
        <f>G24/$G$25</f>
        <v>0.42028985507246375</v>
      </c>
      <c r="R24" s="51"/>
    </row>
    <row r="25" spans="1:18" x14ac:dyDescent="0.3">
      <c r="B25" s="110" t="s">
        <v>97</v>
      </c>
      <c r="C25" s="117">
        <f>25000/5</f>
        <v>5000</v>
      </c>
      <c r="D25" s="117">
        <f>3605+1808</f>
        <v>5413</v>
      </c>
      <c r="E25" s="208"/>
      <c r="F25" s="110" t="s">
        <v>98</v>
      </c>
      <c r="G25" s="119">
        <f>SUM(G21:G24)</f>
        <v>27600</v>
      </c>
      <c r="H25" s="120">
        <f>G25/$G$25</f>
        <v>1</v>
      </c>
      <c r="I25" s="208"/>
      <c r="J25" s="208"/>
      <c r="R25" s="51"/>
    </row>
    <row r="26" spans="1:18" x14ac:dyDescent="0.3">
      <c r="B26" s="110" t="s">
        <v>99</v>
      </c>
      <c r="C26" s="117">
        <f>28000/5</f>
        <v>5600</v>
      </c>
      <c r="D26" s="118"/>
      <c r="E26" s="208"/>
      <c r="F26" s="110" t="s">
        <v>100</v>
      </c>
      <c r="G26" s="119">
        <f>G24*2+G23*1.5+G22*1+G21*0.5</f>
        <v>39100</v>
      </c>
      <c r="H26" s="110"/>
      <c r="I26" s="208"/>
      <c r="J26" s="208"/>
      <c r="R26" s="51"/>
    </row>
    <row r="27" spans="1:18" x14ac:dyDescent="0.3">
      <c r="B27" s="115" t="s">
        <v>98</v>
      </c>
      <c r="C27" s="116">
        <f>SUM(C21:C26)</f>
        <v>27600</v>
      </c>
      <c r="D27" s="116">
        <f>SUM(D21:D26)</f>
        <v>23256</v>
      </c>
      <c r="E27" s="208"/>
      <c r="F27" s="110" t="s">
        <v>101</v>
      </c>
      <c r="G27" s="119">
        <f>C27*2</f>
        <v>55200</v>
      </c>
      <c r="H27" s="110"/>
      <c r="I27" s="208"/>
      <c r="J27" s="208"/>
      <c r="R27" s="51"/>
    </row>
    <row r="28" spans="1:18" x14ac:dyDescent="0.3">
      <c r="B28" s="208"/>
      <c r="C28" s="208"/>
      <c r="D28" s="208"/>
      <c r="E28" s="208"/>
      <c r="R28" s="51"/>
    </row>
    <row r="29" spans="1:18" ht="21" customHeight="1" x14ac:dyDescent="0.35">
      <c r="A29" s="71"/>
      <c r="B29" s="106" t="s">
        <v>102</v>
      </c>
      <c r="C29" s="136"/>
      <c r="D29" s="136"/>
      <c r="E29" s="136"/>
      <c r="F29" s="136"/>
      <c r="G29" s="136"/>
      <c r="H29" s="136"/>
      <c r="I29" s="136"/>
      <c r="J29" s="136"/>
      <c r="K29" s="136"/>
      <c r="L29" s="136"/>
      <c r="M29" s="136"/>
      <c r="N29" s="136"/>
      <c r="O29" s="136"/>
      <c r="P29" s="136"/>
      <c r="Q29" s="136"/>
      <c r="R29" s="137"/>
    </row>
    <row r="30" spans="1:18" ht="9" customHeight="1" x14ac:dyDescent="0.3">
      <c r="A30" s="72"/>
      <c r="B30" s="147"/>
      <c r="C30" s="128"/>
      <c r="D30" s="128"/>
      <c r="E30" s="128"/>
      <c r="F30" s="128"/>
      <c r="G30" s="128"/>
      <c r="H30" s="128"/>
      <c r="I30" s="128"/>
      <c r="J30" s="128"/>
      <c r="K30" s="128"/>
      <c r="L30" s="128"/>
      <c r="M30" s="128"/>
      <c r="N30" s="128"/>
      <c r="O30" s="128"/>
      <c r="P30" s="128"/>
      <c r="Q30" s="128"/>
      <c r="R30" s="139"/>
    </row>
    <row r="31" spans="1:18" ht="15.75" customHeight="1" x14ac:dyDescent="0.3">
      <c r="A31" s="72"/>
      <c r="B31" s="148" t="s">
        <v>103</v>
      </c>
      <c r="C31" s="128"/>
      <c r="D31" s="128"/>
      <c r="E31" s="128"/>
      <c r="F31" s="128"/>
      <c r="G31" s="128"/>
      <c r="H31" s="128"/>
      <c r="I31" s="128"/>
      <c r="J31" s="128"/>
      <c r="K31" s="128"/>
      <c r="L31" s="128"/>
      <c r="M31" s="128"/>
      <c r="N31" s="128"/>
      <c r="O31" s="128"/>
      <c r="P31" s="128"/>
      <c r="Q31" s="128"/>
      <c r="R31" s="139"/>
    </row>
    <row r="32" spans="1:18" x14ac:dyDescent="0.3">
      <c r="A32" s="53"/>
      <c r="B32" s="109" t="s">
        <v>104</v>
      </c>
      <c r="C32" s="109">
        <v>2021</v>
      </c>
      <c r="D32" s="109">
        <v>2022</v>
      </c>
      <c r="E32" s="109">
        <v>2023</v>
      </c>
      <c r="F32" s="109">
        <v>2024</v>
      </c>
      <c r="G32" s="109">
        <v>2025</v>
      </c>
      <c r="H32" s="109">
        <v>2026</v>
      </c>
      <c r="I32" s="109">
        <v>2027</v>
      </c>
      <c r="J32" s="109">
        <v>2028</v>
      </c>
      <c r="K32" s="109">
        <v>2029</v>
      </c>
      <c r="L32" s="109">
        <v>2030</v>
      </c>
      <c r="M32" s="109">
        <v>2031</v>
      </c>
      <c r="N32" s="109">
        <v>2032</v>
      </c>
      <c r="O32" s="109">
        <v>2033</v>
      </c>
      <c r="P32" s="109">
        <v>2034</v>
      </c>
      <c r="Q32" s="109">
        <v>2035</v>
      </c>
      <c r="R32" s="109" t="s">
        <v>105</v>
      </c>
    </row>
    <row r="33" spans="1:18" x14ac:dyDescent="0.3">
      <c r="A33" s="53"/>
      <c r="B33" s="121" t="s">
        <v>106</v>
      </c>
      <c r="C33" s="125">
        <v>115.24299999999999</v>
      </c>
      <c r="D33" s="125">
        <v>123.258</v>
      </c>
      <c r="E33" s="125">
        <v>130.548</v>
      </c>
      <c r="F33" s="126">
        <v>134.24700000000001</v>
      </c>
      <c r="G33" s="125">
        <v>141.63900000000001</v>
      </c>
      <c r="H33" s="125">
        <v>148.495</v>
      </c>
      <c r="I33" s="125">
        <v>155.54900000000001</v>
      </c>
      <c r="J33" s="125">
        <v>162.208</v>
      </c>
      <c r="K33" s="125">
        <v>162.208</v>
      </c>
      <c r="L33" s="125">
        <v>177.68</v>
      </c>
      <c r="M33" s="123">
        <f>L33+(L33*0.046)</f>
        <v>185.85328000000001</v>
      </c>
      <c r="N33" s="123">
        <f>M33+(M33*0.046)</f>
        <v>194.40253088</v>
      </c>
      <c r="O33" s="123">
        <f t="shared" ref="O33" si="0">N33+(N33*0.046)</f>
        <v>203.34504730047999</v>
      </c>
      <c r="P33" s="123">
        <f t="shared" ref="P33" si="1">O33+(O33*0.046)</f>
        <v>212.69891947630208</v>
      </c>
      <c r="Q33" s="123">
        <f t="shared" ref="Q33" si="2">P33+(P33*0.046)</f>
        <v>222.48306977221199</v>
      </c>
      <c r="R33" s="124" t="s">
        <v>107</v>
      </c>
    </row>
    <row r="34" spans="1:18" x14ac:dyDescent="0.3">
      <c r="A34" s="53"/>
      <c r="B34" s="121" t="s">
        <v>108</v>
      </c>
      <c r="C34" s="125">
        <v>102.694</v>
      </c>
      <c r="D34" s="125">
        <v>109.283</v>
      </c>
      <c r="E34" s="125">
        <v>116.598</v>
      </c>
      <c r="F34" s="125">
        <v>120.224</v>
      </c>
      <c r="G34" s="125">
        <v>123.03400000000001</v>
      </c>
      <c r="H34" s="125">
        <v>125.36199999999999</v>
      </c>
      <c r="I34" s="125">
        <v>127.825</v>
      </c>
      <c r="J34" s="125">
        <v>130.572</v>
      </c>
      <c r="K34" s="125">
        <v>133.40199999999999</v>
      </c>
      <c r="L34" s="125">
        <v>136.36799999999999</v>
      </c>
      <c r="M34" s="122"/>
      <c r="N34" s="122"/>
      <c r="O34" s="122"/>
      <c r="P34" s="122"/>
      <c r="Q34" s="122"/>
      <c r="R34" s="3"/>
    </row>
    <row r="35" spans="1:18" ht="12.75" customHeight="1" x14ac:dyDescent="0.3">
      <c r="R35" s="51"/>
    </row>
    <row r="36" spans="1:18" ht="16.5" customHeight="1" x14ac:dyDescent="0.3">
      <c r="A36" s="72"/>
      <c r="B36" s="148" t="s">
        <v>109</v>
      </c>
      <c r="C36" s="128"/>
      <c r="D36" s="128"/>
      <c r="E36" s="128"/>
      <c r="F36" s="128"/>
      <c r="G36" s="128"/>
      <c r="H36" s="128"/>
      <c r="I36" s="128"/>
      <c r="J36" s="128"/>
      <c r="K36" s="128"/>
      <c r="L36" s="128"/>
      <c r="M36" s="128"/>
      <c r="N36" s="128"/>
      <c r="O36" s="128"/>
      <c r="P36" s="128"/>
      <c r="Q36" s="128"/>
      <c r="R36" s="139"/>
    </row>
    <row r="37" spans="1:18" x14ac:dyDescent="0.3">
      <c r="A37" s="53"/>
      <c r="B37" s="114" t="s">
        <v>104</v>
      </c>
      <c r="C37" s="114"/>
      <c r="D37" s="114">
        <v>2021</v>
      </c>
      <c r="E37" s="114" t="s">
        <v>76</v>
      </c>
      <c r="R37" s="51"/>
    </row>
    <row r="38" spans="1:18" ht="15" customHeight="1" x14ac:dyDescent="0.3">
      <c r="A38" s="53"/>
      <c r="B38" s="209" t="s">
        <v>110</v>
      </c>
      <c r="C38" s="209" t="s">
        <v>111</v>
      </c>
      <c r="D38" s="127">
        <v>2.3599999999999999E-4</v>
      </c>
      <c r="E38" s="100" t="s">
        <v>112</v>
      </c>
      <c r="R38" s="51"/>
    </row>
    <row r="39" spans="1:18" x14ac:dyDescent="0.3">
      <c r="R39" s="51"/>
    </row>
    <row r="40" spans="1:18" x14ac:dyDescent="0.3">
      <c r="A40" s="55"/>
      <c r="B40" s="149" t="s">
        <v>113</v>
      </c>
      <c r="C40" s="55"/>
      <c r="D40" s="55"/>
      <c r="E40" s="55"/>
      <c r="F40" s="55"/>
      <c r="G40" s="55"/>
      <c r="H40" s="55"/>
      <c r="I40" s="55"/>
      <c r="J40" s="55"/>
      <c r="K40" s="55"/>
      <c r="L40" s="55"/>
      <c r="M40" s="55"/>
      <c r="N40" s="55"/>
      <c r="O40" s="55"/>
      <c r="P40" s="55"/>
      <c r="Q40" s="55"/>
      <c r="R40" s="56"/>
    </row>
  </sheetData>
  <mergeCells count="3">
    <mergeCell ref="E3:J3"/>
    <mergeCell ref="E4:J4"/>
    <mergeCell ref="E5:J5"/>
  </mergeCells>
  <conditionalFormatting sqref="B11:C11">
    <cfRule type="cellIs" dxfId="9" priority="1" operator="lessThan">
      <formula>0</formula>
    </cfRule>
  </conditionalFormatting>
  <hyperlinks>
    <hyperlink ref="D16" r:id="rId1" xr:uid="{83E0A127-56F3-4E95-ADBE-EE4BF79BC085}"/>
    <hyperlink ref="R33" r:id="rId2" xr:uid="{59920C59-11D0-4B83-B00B-61CC7AD5DE1F}"/>
    <hyperlink ref="E38" r:id="rId3" xr:uid="{C01E9825-7C7F-4B31-956F-12A6B99C0E88}"/>
  </hyperlinks>
  <pageMargins left="0.7" right="0.7" top="0.75" bottom="0.75" header="0.3" footer="0.3"/>
  <pageSetup paperSize="9" orientation="portrait" horizontalDpi="1200" verticalDpi="1200" r:id="rId4"/>
  <ignoredErrors>
    <ignoredError sqref="C23:C24" formula="1"/>
  </ignoredErrors>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AB82"/>
  <sheetViews>
    <sheetView showGridLines="0" topLeftCell="A26" zoomScaleNormal="100" workbookViewId="0">
      <selection activeCell="C38" sqref="C38"/>
    </sheetView>
  </sheetViews>
  <sheetFormatPr defaultColWidth="11.44140625" defaultRowHeight="14.4" x14ac:dyDescent="0.3"/>
  <cols>
    <col min="1" max="1" width="4.44140625" customWidth="1"/>
    <col min="2" max="2" width="63.33203125" customWidth="1"/>
    <col min="3" max="4" width="20.44140625" customWidth="1"/>
    <col min="5" max="5" width="17.6640625" customWidth="1"/>
    <col min="6" max="6" width="18.44140625" customWidth="1"/>
    <col min="7" max="7" width="18.5546875" customWidth="1"/>
    <col min="8" max="8" width="18" customWidth="1"/>
    <col min="9" max="9" width="19.33203125" customWidth="1"/>
    <col min="10" max="10" width="17.88671875" customWidth="1"/>
    <col min="11" max="11" width="17.5546875" customWidth="1"/>
    <col min="12" max="12" width="19.44140625" customWidth="1"/>
    <col min="13" max="13" width="17.33203125" customWidth="1"/>
    <col min="14" max="14" width="15.6640625" customWidth="1"/>
    <col min="15" max="15" width="15.44140625" customWidth="1"/>
    <col min="16" max="16" width="16" customWidth="1"/>
  </cols>
  <sheetData>
    <row r="1" spans="1:17" s="74" customFormat="1" ht="21" x14ac:dyDescent="0.4">
      <c r="A1" s="152"/>
      <c r="B1" s="152" t="s">
        <v>114</v>
      </c>
      <c r="C1" s="165"/>
      <c r="D1" s="166"/>
      <c r="E1" s="167"/>
      <c r="F1" s="168"/>
      <c r="G1" s="168"/>
      <c r="H1" s="168"/>
      <c r="I1" s="168"/>
      <c r="J1" s="168"/>
      <c r="K1" s="168"/>
      <c r="L1" s="168"/>
      <c r="M1" s="168"/>
      <c r="N1" s="73"/>
      <c r="O1"/>
      <c r="P1"/>
      <c r="Q1"/>
    </row>
    <row r="2" spans="1:17" ht="15.75" customHeight="1" x14ac:dyDescent="0.35">
      <c r="B2" s="153"/>
      <c r="N2" s="51"/>
    </row>
    <row r="3" spans="1:17" s="1" customFormat="1" ht="15.6" x14ac:dyDescent="0.3">
      <c r="A3" s="208"/>
      <c r="B3" s="156" t="s">
        <v>104</v>
      </c>
      <c r="C3" s="155">
        <v>2024</v>
      </c>
      <c r="D3" s="155">
        <v>2025</v>
      </c>
      <c r="E3" s="155">
        <v>2026</v>
      </c>
      <c r="F3" s="155">
        <v>2027</v>
      </c>
      <c r="G3" s="155">
        <v>2028</v>
      </c>
      <c r="H3" s="155">
        <v>2029</v>
      </c>
      <c r="I3" s="155">
        <v>2030</v>
      </c>
      <c r="J3" s="155">
        <v>2031</v>
      </c>
      <c r="K3" s="155">
        <v>2032</v>
      </c>
      <c r="L3" s="155">
        <v>2033</v>
      </c>
      <c r="M3" s="208"/>
      <c r="N3" s="210"/>
      <c r="O3"/>
      <c r="P3"/>
      <c r="Q3"/>
    </row>
    <row r="4" spans="1:17" s="2" customFormat="1" x14ac:dyDescent="0.3">
      <c r="B4" s="209" t="s">
        <v>115</v>
      </c>
      <c r="C4" s="211">
        <f>'Model input'!C16*0.02</f>
        <v>135288.38</v>
      </c>
      <c r="D4" s="211">
        <f>'Model input'!C16*0.08</f>
        <v>541153.52</v>
      </c>
      <c r="E4" s="211">
        <f>'Model input'!C16*'Model input'!C17</f>
        <v>676441.9</v>
      </c>
      <c r="F4" s="211">
        <f>E4+(E4*'Sensitivity analysis'!C8)</f>
        <v>696735.15700000001</v>
      </c>
      <c r="G4" s="211">
        <f>F4+(F4*'Sensitivity analysis'!C8)</f>
        <v>717637.21171000006</v>
      </c>
      <c r="H4" s="211">
        <f>G4+(G4*'Sensitivity analysis'!C8)</f>
        <v>739166.3280613001</v>
      </c>
      <c r="I4" s="211">
        <f>H4</f>
        <v>739166.3280613001</v>
      </c>
      <c r="J4" s="211">
        <f>I4</f>
        <v>739166.3280613001</v>
      </c>
      <c r="K4" s="211">
        <f>J4</f>
        <v>739166.3280613001</v>
      </c>
      <c r="L4" s="211">
        <f>K4</f>
        <v>739166.3280613001</v>
      </c>
      <c r="M4" s="208"/>
      <c r="N4" s="210"/>
      <c r="O4"/>
      <c r="P4"/>
      <c r="Q4"/>
    </row>
    <row r="5" spans="1:17" s="2" customFormat="1" x14ac:dyDescent="0.3">
      <c r="B5" s="209" t="s">
        <v>116</v>
      </c>
      <c r="C5" s="212">
        <f>C4/(1+'Sensitivity analysis'!C5)^(C3-2024)</f>
        <v>135288.38</v>
      </c>
      <c r="D5" s="212">
        <f>D4/(1+'Sensitivity analysis'!C5)^(D3-2024)</f>
        <v>491957.74545454542</v>
      </c>
      <c r="E5" s="212">
        <f>E4/(1+'Sensitivity analysis'!C5)^(E3-2024)</f>
        <v>559042.89256198343</v>
      </c>
      <c r="F5" s="212">
        <f>F4/(1+'Sensitivity analysis'!C5)^(F3-2024)</f>
        <v>523467.43576258438</v>
      </c>
      <c r="G5" s="212">
        <f>G4/(1+'Sensitivity analysis'!C5)^(G3-2024)</f>
        <v>490155.87166860176</v>
      </c>
      <c r="H5" s="212">
        <f>H4/(1+'Sensitivity analysis'!C5)^(H3-2024)</f>
        <v>458964.13438059983</v>
      </c>
      <c r="I5" s="212">
        <f>I4/(1+'Sensitivity analysis'!C5)^(I3-2024)</f>
        <v>417240.12216418161</v>
      </c>
      <c r="J5" s="212">
        <f>J4/(1+'Sensitivity analysis'!C5)^(J3-2024)</f>
        <v>379309.20196743775</v>
      </c>
      <c r="K5" s="212">
        <f>K4/(1+'Sensitivity analysis'!C5)^(K3-2024)</f>
        <v>344826.54724312527</v>
      </c>
      <c r="L5" s="212">
        <f>L4/(1+'Sensitivity analysis'!C5)^(L3-2024)</f>
        <v>313478.67931193206</v>
      </c>
      <c r="M5" s="208"/>
      <c r="N5" s="210"/>
      <c r="O5"/>
      <c r="P5"/>
      <c r="Q5"/>
    </row>
    <row r="6" spans="1:17" s="2" customFormat="1" x14ac:dyDescent="0.3">
      <c r="B6" s="209" t="s">
        <v>117</v>
      </c>
      <c r="C6" s="213">
        <f>C5/('Model input'!$F$33/'Model input'!$C$33)</f>
        <v>116136.96228846826</v>
      </c>
      <c r="D6" s="213">
        <f>D5/('Model input'!$F$33/'Model input'!$C$33)</f>
        <v>422316.22650352091</v>
      </c>
      <c r="E6" s="213">
        <f>E5/('Model input'!$F$33/'Model input'!$C$33)</f>
        <v>479904.80284491007</v>
      </c>
      <c r="F6" s="213">
        <f>F5/('Model input'!$F$33/'Model input'!$C$33)</f>
        <v>449365.40630023391</v>
      </c>
      <c r="G6" s="213">
        <f>G5/('Model input'!$F$33/'Model input'!$C$33)</f>
        <v>420769.42589930992</v>
      </c>
      <c r="H6" s="213">
        <f>H5/('Model input'!$F$33/'Model input'!$C$33)</f>
        <v>393993.18970571749</v>
      </c>
      <c r="I6" s="213">
        <f>I5/('Model input'!$F$33/'Model input'!$C$33)</f>
        <v>358175.62700519769</v>
      </c>
      <c r="J6" s="213">
        <f>J5/('Model input'!$F$33/'Model input'!$C$33)</f>
        <v>325614.20636836148</v>
      </c>
      <c r="K6" s="213">
        <f>K5/('Model input'!$F$33/'Model input'!$C$33)</f>
        <v>296012.91488032864</v>
      </c>
      <c r="L6" s="213">
        <f>L5/('Model input'!$F$33/'Model input'!$C$33)</f>
        <v>269102.64989120787</v>
      </c>
      <c r="M6" s="208"/>
      <c r="N6" s="210"/>
      <c r="O6"/>
      <c r="P6"/>
      <c r="Q6"/>
    </row>
    <row r="7" spans="1:17" s="64" customFormat="1" ht="15.6" x14ac:dyDescent="0.3">
      <c r="B7" s="69" t="s">
        <v>118</v>
      </c>
      <c r="C7" s="75">
        <f>C6*'Model input'!$D$38</f>
        <v>27.408323100078508</v>
      </c>
      <c r="D7" s="75">
        <f>D6*'Model input'!$D$38</f>
        <v>99.666629454830925</v>
      </c>
      <c r="E7" s="75">
        <f>E6*'Model input'!$D$38</f>
        <v>113.25753347139877</v>
      </c>
      <c r="F7" s="75">
        <f>F6*'Model input'!$D$38</f>
        <v>106.05023588685521</v>
      </c>
      <c r="G7" s="75">
        <f>G6*'Model input'!$D$38</f>
        <v>99.301584512237142</v>
      </c>
      <c r="H7" s="75">
        <f>H6*'Model input'!$D$38</f>
        <v>92.982392770549325</v>
      </c>
      <c r="I7" s="75">
        <f>I6*'Model input'!$D$38</f>
        <v>84.529447973226652</v>
      </c>
      <c r="J7" s="75">
        <f>J6*'Model input'!$D$38</f>
        <v>76.844952702933313</v>
      </c>
      <c r="K7" s="75">
        <f>K6*'Model input'!$D$38</f>
        <v>69.859047911757557</v>
      </c>
      <c r="L7" s="75">
        <f>L6*'Model input'!$D$38</f>
        <v>63.508225374325058</v>
      </c>
      <c r="M7" s="208"/>
      <c r="N7" s="210"/>
      <c r="O7"/>
      <c r="P7"/>
      <c r="Q7"/>
    </row>
    <row r="8" spans="1:17" x14ac:dyDescent="0.3">
      <c r="B8" s="57"/>
      <c r="C8" s="169"/>
      <c r="D8" s="170"/>
      <c r="E8" s="169"/>
      <c r="F8" s="169"/>
      <c r="G8" s="169"/>
      <c r="N8" s="51"/>
    </row>
    <row r="9" spans="1:17" ht="19.95" customHeight="1" x14ac:dyDescent="0.35">
      <c r="A9" s="152"/>
      <c r="B9" s="152" t="s">
        <v>119</v>
      </c>
      <c r="C9" s="171"/>
      <c r="D9" s="20"/>
      <c r="E9" s="20"/>
      <c r="F9" s="20"/>
      <c r="G9" s="20"/>
      <c r="H9" s="20"/>
      <c r="I9" s="20"/>
      <c r="J9" s="20"/>
      <c r="K9" s="20"/>
      <c r="L9" s="20"/>
      <c r="M9" s="20"/>
      <c r="N9" s="65"/>
    </row>
    <row r="10" spans="1:17" ht="18.600000000000001" customHeight="1" x14ac:dyDescent="0.3">
      <c r="N10" s="51"/>
    </row>
    <row r="11" spans="1:17" ht="15.6" x14ac:dyDescent="0.3">
      <c r="B11" s="156" t="s">
        <v>120</v>
      </c>
      <c r="C11" s="156" t="s">
        <v>121</v>
      </c>
      <c r="D11" s="156"/>
      <c r="E11" s="156"/>
      <c r="F11" s="156" t="s">
        <v>122</v>
      </c>
      <c r="G11" s="156"/>
      <c r="H11" s="156"/>
      <c r="I11" s="156"/>
      <c r="J11" s="156"/>
      <c r="K11" s="156"/>
      <c r="L11" s="156"/>
      <c r="M11" s="156"/>
      <c r="N11" s="156"/>
    </row>
    <row r="12" spans="1:17" ht="15.6" x14ac:dyDescent="0.3">
      <c r="B12" s="156"/>
      <c r="C12" s="155">
        <v>2024</v>
      </c>
      <c r="D12" s="155">
        <v>2025</v>
      </c>
      <c r="E12" s="155">
        <v>2026</v>
      </c>
      <c r="F12" s="155">
        <v>2027</v>
      </c>
      <c r="G12" s="155">
        <v>2028</v>
      </c>
      <c r="H12" s="155">
        <v>2029</v>
      </c>
      <c r="I12" s="155">
        <v>2030</v>
      </c>
      <c r="J12" s="155">
        <v>2031</v>
      </c>
      <c r="K12" s="155">
        <v>2032</v>
      </c>
      <c r="L12" s="155">
        <v>2033</v>
      </c>
      <c r="M12" s="155">
        <v>2034</v>
      </c>
      <c r="N12" s="155">
        <v>2035</v>
      </c>
    </row>
    <row r="13" spans="1:17" x14ac:dyDescent="0.3">
      <c r="B13" s="214">
        <v>1</v>
      </c>
      <c r="C13" s="215">
        <f>'Model input'!C21+'Model input'!C22</f>
        <v>6600</v>
      </c>
      <c r="D13" s="215">
        <f>'Model input'!C23+'Model input'!C24</f>
        <v>10400</v>
      </c>
      <c r="E13" s="215">
        <f>'Model input'!C25+'Model input'!C26</f>
        <v>10600</v>
      </c>
      <c r="F13" s="216">
        <v>0</v>
      </c>
      <c r="G13" s="216">
        <v>0</v>
      </c>
      <c r="H13" s="216">
        <v>0</v>
      </c>
      <c r="I13" s="216">
        <v>0</v>
      </c>
      <c r="J13" s="216">
        <v>0</v>
      </c>
      <c r="K13" s="216">
        <v>0</v>
      </c>
      <c r="L13" s="216">
        <v>0</v>
      </c>
      <c r="M13" s="216">
        <v>0</v>
      </c>
      <c r="N13" s="216">
        <v>0</v>
      </c>
    </row>
    <row r="14" spans="1:17" x14ac:dyDescent="0.3">
      <c r="B14" s="214">
        <v>2</v>
      </c>
      <c r="C14" s="215">
        <v>0</v>
      </c>
      <c r="D14" s="215">
        <f>C13</f>
        <v>6600</v>
      </c>
      <c r="E14" s="215">
        <f t="shared" ref="E14:L14" si="0">D13</f>
        <v>10400</v>
      </c>
      <c r="F14" s="216">
        <f t="shared" si="0"/>
        <v>10600</v>
      </c>
      <c r="G14" s="216">
        <f t="shared" si="0"/>
        <v>0</v>
      </c>
      <c r="H14" s="216">
        <f t="shared" si="0"/>
        <v>0</v>
      </c>
      <c r="I14" s="216">
        <f t="shared" si="0"/>
        <v>0</v>
      </c>
      <c r="J14" s="216">
        <f t="shared" si="0"/>
        <v>0</v>
      </c>
      <c r="K14" s="216">
        <f t="shared" si="0"/>
        <v>0</v>
      </c>
      <c r="L14" s="216">
        <f t="shared" si="0"/>
        <v>0</v>
      </c>
      <c r="M14" s="216">
        <f t="shared" ref="M14:M22" si="1">L13</f>
        <v>0</v>
      </c>
      <c r="N14" s="216">
        <f t="shared" ref="N14:N21" si="2">M13</f>
        <v>0</v>
      </c>
    </row>
    <row r="15" spans="1:17" x14ac:dyDescent="0.3">
      <c r="B15" s="214">
        <v>3</v>
      </c>
      <c r="C15" s="215">
        <v>0</v>
      </c>
      <c r="D15" s="215">
        <v>0</v>
      </c>
      <c r="E15" s="215">
        <f t="shared" ref="E15:L15" si="3">D14</f>
        <v>6600</v>
      </c>
      <c r="F15" s="216">
        <f t="shared" si="3"/>
        <v>10400</v>
      </c>
      <c r="G15" s="216">
        <f t="shared" si="3"/>
        <v>10600</v>
      </c>
      <c r="H15" s="216">
        <f t="shared" si="3"/>
        <v>0</v>
      </c>
      <c r="I15" s="216">
        <f t="shared" si="3"/>
        <v>0</v>
      </c>
      <c r="J15" s="216">
        <f t="shared" si="3"/>
        <v>0</v>
      </c>
      <c r="K15" s="216">
        <f t="shared" si="3"/>
        <v>0</v>
      </c>
      <c r="L15" s="216">
        <f t="shared" si="3"/>
        <v>0</v>
      </c>
      <c r="M15" s="216">
        <f t="shared" si="1"/>
        <v>0</v>
      </c>
      <c r="N15" s="216">
        <f t="shared" si="2"/>
        <v>0</v>
      </c>
    </row>
    <row r="16" spans="1:17" x14ac:dyDescent="0.3">
      <c r="B16" s="214">
        <v>4</v>
      </c>
      <c r="C16" s="215">
        <v>0</v>
      </c>
      <c r="D16" s="215">
        <v>0</v>
      </c>
      <c r="E16" s="215">
        <v>0</v>
      </c>
      <c r="F16" s="216">
        <f t="shared" ref="F16:L16" si="4">E15</f>
        <v>6600</v>
      </c>
      <c r="G16" s="216">
        <f t="shared" si="4"/>
        <v>10400</v>
      </c>
      <c r="H16" s="216">
        <f t="shared" si="4"/>
        <v>10600</v>
      </c>
      <c r="I16" s="216">
        <f t="shared" si="4"/>
        <v>0</v>
      </c>
      <c r="J16" s="216">
        <f t="shared" si="4"/>
        <v>0</v>
      </c>
      <c r="K16" s="216">
        <f t="shared" si="4"/>
        <v>0</v>
      </c>
      <c r="L16" s="216">
        <f t="shared" si="4"/>
        <v>0</v>
      </c>
      <c r="M16" s="216">
        <f t="shared" si="1"/>
        <v>0</v>
      </c>
      <c r="N16" s="216">
        <f t="shared" si="2"/>
        <v>0</v>
      </c>
    </row>
    <row r="17" spans="1:28" x14ac:dyDescent="0.3">
      <c r="B17" s="214">
        <v>5</v>
      </c>
      <c r="C17" s="215">
        <v>0</v>
      </c>
      <c r="D17" s="215">
        <v>0</v>
      </c>
      <c r="E17" s="215">
        <v>0</v>
      </c>
      <c r="F17" s="216">
        <v>0</v>
      </c>
      <c r="G17" s="216">
        <f t="shared" ref="G17:L17" si="5">F16</f>
        <v>6600</v>
      </c>
      <c r="H17" s="216">
        <f t="shared" si="5"/>
        <v>10400</v>
      </c>
      <c r="I17" s="216">
        <f t="shared" si="5"/>
        <v>10600</v>
      </c>
      <c r="J17" s="216">
        <f t="shared" si="5"/>
        <v>0</v>
      </c>
      <c r="K17" s="216">
        <f t="shared" si="5"/>
        <v>0</v>
      </c>
      <c r="L17" s="216">
        <f t="shared" si="5"/>
        <v>0</v>
      </c>
      <c r="M17" s="216">
        <f t="shared" si="1"/>
        <v>0</v>
      </c>
      <c r="N17" s="216">
        <f t="shared" si="2"/>
        <v>0</v>
      </c>
    </row>
    <row r="18" spans="1:28" x14ac:dyDescent="0.3">
      <c r="B18" s="214">
        <v>6</v>
      </c>
      <c r="C18" s="215">
        <v>0</v>
      </c>
      <c r="D18" s="215">
        <v>0</v>
      </c>
      <c r="E18" s="215">
        <v>0</v>
      </c>
      <c r="F18" s="216">
        <v>0</v>
      </c>
      <c r="G18" s="216">
        <v>0</v>
      </c>
      <c r="H18" s="216">
        <f>G17</f>
        <v>6600</v>
      </c>
      <c r="I18" s="216">
        <f>H17</f>
        <v>10400</v>
      </c>
      <c r="J18" s="216">
        <f>I17</f>
        <v>10600</v>
      </c>
      <c r="K18" s="216">
        <f>J17</f>
        <v>0</v>
      </c>
      <c r="L18" s="216">
        <f>K17</f>
        <v>0</v>
      </c>
      <c r="M18" s="216">
        <f t="shared" si="1"/>
        <v>0</v>
      </c>
      <c r="N18" s="216">
        <f t="shared" si="2"/>
        <v>0</v>
      </c>
    </row>
    <row r="19" spans="1:28" x14ac:dyDescent="0.3">
      <c r="B19" s="214">
        <v>7</v>
      </c>
      <c r="C19" s="215">
        <v>0</v>
      </c>
      <c r="D19" s="215">
        <v>0</v>
      </c>
      <c r="E19" s="215">
        <v>0</v>
      </c>
      <c r="F19" s="216">
        <v>0</v>
      </c>
      <c r="G19" s="216">
        <v>0</v>
      </c>
      <c r="H19" s="216">
        <v>0</v>
      </c>
      <c r="I19" s="216">
        <f>H18</f>
        <v>6600</v>
      </c>
      <c r="J19" s="216">
        <f>I18</f>
        <v>10400</v>
      </c>
      <c r="K19" s="216">
        <f>J18</f>
        <v>10600</v>
      </c>
      <c r="L19" s="216">
        <f>K18</f>
        <v>0</v>
      </c>
      <c r="M19" s="216">
        <f t="shared" si="1"/>
        <v>0</v>
      </c>
      <c r="N19" s="216">
        <f t="shared" si="2"/>
        <v>0</v>
      </c>
    </row>
    <row r="20" spans="1:28" x14ac:dyDescent="0.3">
      <c r="B20" s="214">
        <v>8</v>
      </c>
      <c r="C20" s="215">
        <v>0</v>
      </c>
      <c r="D20" s="215">
        <v>0</v>
      </c>
      <c r="E20" s="215">
        <v>0</v>
      </c>
      <c r="F20" s="216">
        <v>0</v>
      </c>
      <c r="G20" s="216">
        <v>0</v>
      </c>
      <c r="H20" s="216">
        <v>0</v>
      </c>
      <c r="I20" s="216">
        <v>0</v>
      </c>
      <c r="J20" s="216">
        <f>I19</f>
        <v>6600</v>
      </c>
      <c r="K20" s="216">
        <f>J19</f>
        <v>10400</v>
      </c>
      <c r="L20" s="216">
        <f>K19</f>
        <v>10600</v>
      </c>
      <c r="M20" s="216">
        <f t="shared" si="1"/>
        <v>0</v>
      </c>
      <c r="N20" s="216">
        <f t="shared" si="2"/>
        <v>0</v>
      </c>
    </row>
    <row r="21" spans="1:28" x14ac:dyDescent="0.3">
      <c r="B21" s="214">
        <v>9</v>
      </c>
      <c r="C21" s="215">
        <v>0</v>
      </c>
      <c r="D21" s="215">
        <v>0</v>
      </c>
      <c r="E21" s="215">
        <v>0</v>
      </c>
      <c r="F21" s="216">
        <v>0</v>
      </c>
      <c r="G21" s="216">
        <v>0</v>
      </c>
      <c r="H21" s="216">
        <v>0</v>
      </c>
      <c r="I21" s="216">
        <v>0</v>
      </c>
      <c r="J21" s="216">
        <v>0</v>
      </c>
      <c r="K21" s="216">
        <f>J20</f>
        <v>6600</v>
      </c>
      <c r="L21" s="216">
        <f>K20</f>
        <v>10400</v>
      </c>
      <c r="M21" s="216">
        <f t="shared" si="1"/>
        <v>10600</v>
      </c>
      <c r="N21" s="216">
        <f t="shared" si="2"/>
        <v>0</v>
      </c>
    </row>
    <row r="22" spans="1:28" x14ac:dyDescent="0.3">
      <c r="B22" s="214">
        <v>10</v>
      </c>
      <c r="C22" s="215">
        <v>0</v>
      </c>
      <c r="D22" s="215">
        <v>0</v>
      </c>
      <c r="E22" s="215">
        <v>0</v>
      </c>
      <c r="F22" s="216">
        <v>0</v>
      </c>
      <c r="G22" s="216">
        <v>0</v>
      </c>
      <c r="H22" s="216">
        <v>0</v>
      </c>
      <c r="I22" s="216">
        <v>0</v>
      </c>
      <c r="J22" s="216">
        <v>0</v>
      </c>
      <c r="K22" s="216">
        <v>0</v>
      </c>
      <c r="L22" s="216">
        <f>K21</f>
        <v>6600</v>
      </c>
      <c r="M22" s="216">
        <f t="shared" si="1"/>
        <v>10400</v>
      </c>
      <c r="N22" s="216">
        <f>M21</f>
        <v>10600</v>
      </c>
    </row>
    <row r="23" spans="1:28" x14ac:dyDescent="0.3">
      <c r="B23" s="217"/>
      <c r="C23" s="218"/>
      <c r="D23" s="218"/>
      <c r="E23" s="218"/>
      <c r="F23" s="218"/>
      <c r="G23" s="218"/>
      <c r="H23" s="218"/>
      <c r="I23" s="218"/>
      <c r="J23" s="218"/>
      <c r="K23" s="218"/>
      <c r="L23" s="218"/>
      <c r="N23" s="51"/>
    </row>
    <row r="24" spans="1:28" s="20" customFormat="1" ht="19.5" customHeight="1" x14ac:dyDescent="0.35">
      <c r="B24" s="152" t="s">
        <v>123</v>
      </c>
      <c r="C24" s="186"/>
      <c r="D24" s="187"/>
      <c r="E24" s="187"/>
      <c r="F24" s="187"/>
      <c r="AB24" s="65"/>
    </row>
    <row r="25" spans="1:28" x14ac:dyDescent="0.3">
      <c r="B25" s="55"/>
      <c r="N25" s="51"/>
    </row>
    <row r="26" spans="1:28" ht="15.6" x14ac:dyDescent="0.3">
      <c r="B26" s="156" t="s">
        <v>104</v>
      </c>
      <c r="C26" s="155">
        <v>2024</v>
      </c>
      <c r="D26" s="155">
        <v>2025</v>
      </c>
      <c r="E26" s="155">
        <v>2026</v>
      </c>
      <c r="F26" s="155">
        <v>2027</v>
      </c>
      <c r="G26" s="155">
        <v>2028</v>
      </c>
      <c r="H26" s="155">
        <v>2029</v>
      </c>
      <c r="I26" s="155">
        <v>2030</v>
      </c>
      <c r="J26" s="155">
        <v>2031</v>
      </c>
      <c r="K26" s="155">
        <v>2032</v>
      </c>
      <c r="L26" s="155">
        <v>2033</v>
      </c>
      <c r="M26" s="155">
        <v>2034</v>
      </c>
      <c r="N26" s="155">
        <v>2035</v>
      </c>
    </row>
    <row r="27" spans="1:28" x14ac:dyDescent="0.3">
      <c r="B27" s="209" t="s">
        <v>124</v>
      </c>
      <c r="C27" s="219">
        <f>C13*C7</f>
        <v>180894.93246051815</v>
      </c>
      <c r="D27" s="219">
        <f>D13*C7/(1+'Sensitivity analysis'!C5)^(D26-C3)+D14*D7</f>
        <v>916932.99098444462</v>
      </c>
      <c r="E27" s="219">
        <f>E13*C7/(1+'Sensitivity analysis'!C5)^2+E14*D7/(1+'Sensitivity analysis'!C5)^1+E15*E7</f>
        <v>1929908.3703526352</v>
      </c>
      <c r="F27" s="219">
        <f>F16*F7+F15*E7/(1+'Sensitivity analysis'!C5)^1+F14*D7/(1+'Sensitivity analysis'!C5)^2</f>
        <v>2643842.6767987069</v>
      </c>
      <c r="G27" s="219">
        <f>G17*G7+G16*F7/(1+'Sensitivity analysis'!C5)^1+G15*E7/(1+'Sensitivity analysis'!C5)^2</f>
        <v>2650220.6671546912</v>
      </c>
      <c r="H27" s="219">
        <f>H18*H7+H17*G7/(1+'Sensitivity analysis'!C5)^1+H16*F7/(1+'Sensitivity analysis'!C5)^2</f>
        <v>2481570.2610630291</v>
      </c>
      <c r="I27" s="219">
        <f>I19*I7+I18*H7/(1+'Sensitivity analysis'!C5)^1+I17*G7/(1+'Sensitivity analysis'!C5)^2</f>
        <v>2306915.3228421374</v>
      </c>
      <c r="J27" s="219">
        <f>J20*J7+J19*I7/(1+'Sensitivity analysis'!C5)^1+J18*H7/(1+'Sensitivity analysis'!C5)^2</f>
        <v>2120920.6946009593</v>
      </c>
      <c r="K27" s="219">
        <f>K21*K7+K20*J7/(1+'Sensitivity analysis'!C5)^1+K19*I7/(1+'Sensitivity analysis'!C5)^2</f>
        <v>1928109.7223645083</v>
      </c>
      <c r="L27" s="219">
        <f>L22*L7+L21*K7/(1+'Sensitivity analysis'!C5)^1+L20*J7/(1+'Sensitivity analysis'!C5)^2</f>
        <v>1752827.0203313713</v>
      </c>
      <c r="M27" s="219">
        <f>M22*L7/(1+'Sensitivity analysis'!C5)^1+M21*K7/(1+'Sensitivity analysis'!C5)^2</f>
        <v>1212429.7571462053</v>
      </c>
      <c r="N27" s="219">
        <f>N22*L7/(1+'Sensitivity analysis'!C5)^2</f>
        <v>556353.04873375664</v>
      </c>
    </row>
    <row r="28" spans="1:28" x14ac:dyDescent="0.3">
      <c r="B28" s="57"/>
      <c r="N28" s="51"/>
    </row>
    <row r="29" spans="1:28" ht="21" customHeight="1" x14ac:dyDescent="0.35">
      <c r="A29" s="152"/>
      <c r="B29" s="188" t="s">
        <v>125</v>
      </c>
      <c r="C29" s="172"/>
      <c r="D29" s="173"/>
      <c r="E29" s="174"/>
      <c r="F29" s="4"/>
      <c r="G29" s="4"/>
      <c r="H29" s="4"/>
      <c r="I29" s="4"/>
      <c r="J29" s="4"/>
      <c r="K29" s="4"/>
      <c r="L29" s="4"/>
      <c r="M29" s="4"/>
      <c r="N29" s="54"/>
    </row>
    <row r="30" spans="1:28" ht="18" x14ac:dyDescent="0.35">
      <c r="B30" s="145"/>
      <c r="C30" s="175"/>
      <c r="D30" s="131"/>
      <c r="E30" s="132"/>
      <c r="F30" s="145"/>
      <c r="G30" s="145"/>
      <c r="H30" s="145"/>
      <c r="I30" s="145"/>
      <c r="J30" s="145"/>
      <c r="K30" s="145"/>
      <c r="L30" s="145"/>
      <c r="M30" s="145"/>
      <c r="N30" s="63"/>
    </row>
    <row r="31" spans="1:28" ht="18" x14ac:dyDescent="0.35">
      <c r="B31" s="154"/>
      <c r="C31" s="175"/>
      <c r="D31" s="156" t="s">
        <v>126</v>
      </c>
      <c r="E31" s="156"/>
      <c r="F31" s="156"/>
      <c r="G31" s="156" t="s">
        <v>127</v>
      </c>
      <c r="H31" s="156"/>
      <c r="I31" s="156"/>
      <c r="J31" s="145"/>
      <c r="K31" s="145"/>
      <c r="L31" s="145"/>
      <c r="M31" s="145"/>
      <c r="N31" s="63"/>
    </row>
    <row r="32" spans="1:28" ht="15.75" customHeight="1" x14ac:dyDescent="0.3">
      <c r="B32" s="273"/>
      <c r="C32" s="274"/>
      <c r="D32" s="155">
        <v>2024</v>
      </c>
      <c r="E32" s="155">
        <v>2025</v>
      </c>
      <c r="F32" s="155">
        <v>2026</v>
      </c>
      <c r="G32" s="155">
        <v>2027</v>
      </c>
      <c r="H32" s="155">
        <v>2028</v>
      </c>
      <c r="I32" s="155" t="s">
        <v>76</v>
      </c>
      <c r="J32" s="176"/>
      <c r="K32" s="176"/>
      <c r="L32" s="176"/>
      <c r="N32" s="51"/>
    </row>
    <row r="33" spans="1:14" ht="15" customHeight="1" x14ac:dyDescent="0.3">
      <c r="B33" s="271" t="s">
        <v>128</v>
      </c>
      <c r="C33" s="272"/>
      <c r="D33" s="117">
        <f>776891-776891*'Sensitivity analysis'!C9</f>
        <v>776891</v>
      </c>
      <c r="E33" s="117">
        <f>1201082-1201082*'Sensitivity analysis'!C9</f>
        <v>1201082</v>
      </c>
      <c r="F33" s="117">
        <f>1351558-1351558*'Sensitivity analysis'!C9</f>
        <v>1351558</v>
      </c>
      <c r="G33" s="77"/>
      <c r="H33" s="78"/>
      <c r="I33" s="208" t="s">
        <v>129</v>
      </c>
      <c r="K33" s="176"/>
      <c r="L33" s="176"/>
      <c r="N33" s="51"/>
    </row>
    <row r="34" spans="1:14" ht="15" customHeight="1" x14ac:dyDescent="0.3">
      <c r="B34" s="271" t="s">
        <v>130</v>
      </c>
      <c r="C34" s="272"/>
      <c r="D34" s="76">
        <f>D33/('Model input'!F$34/'Model input'!$F$34)</f>
        <v>776891</v>
      </c>
      <c r="E34" s="76">
        <f>E33/('Model input'!G$34/'Model input'!$F$34)</f>
        <v>1173650.2297576279</v>
      </c>
      <c r="F34" s="76">
        <f>F33/('Model input'!H$34/'Model input'!$F$34)</f>
        <v>1296163.9810468883</v>
      </c>
      <c r="G34" s="78"/>
      <c r="H34" s="78"/>
      <c r="I34" s="3"/>
      <c r="J34" s="176"/>
      <c r="K34" s="176"/>
      <c r="L34" s="176"/>
      <c r="N34" s="51"/>
    </row>
    <row r="35" spans="1:14" x14ac:dyDescent="0.3">
      <c r="B35" s="271" t="s">
        <v>131</v>
      </c>
      <c r="C35" s="272"/>
      <c r="D35" s="76">
        <f>D34/(1+'Sensitivity analysis'!C5)^(D32-2024)</f>
        <v>776891</v>
      </c>
      <c r="E35" s="76">
        <f>E34/(1+'Sensitivity analysis'!C5)^(E32-2024)</f>
        <v>1066954.7543251163</v>
      </c>
      <c r="F35" s="76">
        <f>F34/(1+'Sensitivity analysis'!C5)^(F32-2024)</f>
        <v>1071209.9016916431</v>
      </c>
      <c r="G35" s="78"/>
      <c r="H35" s="78"/>
      <c r="I35" s="3"/>
      <c r="J35" s="176"/>
      <c r="K35" s="176"/>
      <c r="L35" s="176"/>
      <c r="N35" s="51"/>
    </row>
    <row r="36" spans="1:14" x14ac:dyDescent="0.3">
      <c r="B36" s="271" t="s">
        <v>132</v>
      </c>
      <c r="C36" s="272"/>
      <c r="D36" s="76">
        <f>D35/('Model input'!$F$34/'Model input'!$C$34)</f>
        <v>663611.62791123241</v>
      </c>
      <c r="E36" s="76">
        <f>E35/('Model input'!$F$34/'Model input'!$C$34)</f>
        <v>911380.85191528732</v>
      </c>
      <c r="F36" s="76">
        <f>F35/('Model input'!$F$34/'Model input'!$C$34)</f>
        <v>915015.55134017835</v>
      </c>
      <c r="G36" s="220">
        <f>('Model input'!C25+'Model input'!C26+(0.5*'Model input'!C24))*C39</f>
        <v>846984.82901578222</v>
      </c>
      <c r="H36" s="220">
        <f>'Model input'!C26*0.5*SROI!C39</f>
        <v>178312.59558226992</v>
      </c>
      <c r="I36" s="66"/>
      <c r="J36" s="176"/>
      <c r="K36" s="176"/>
      <c r="L36" s="176"/>
      <c r="N36" s="51"/>
    </row>
    <row r="37" spans="1:14" ht="34.5" customHeight="1" x14ac:dyDescent="0.3">
      <c r="B37" s="157"/>
      <c r="D37" s="176"/>
      <c r="E37" s="176"/>
      <c r="F37" s="176"/>
      <c r="G37" s="176"/>
      <c r="H37" s="176"/>
      <c r="I37" s="176"/>
      <c r="J37" s="176"/>
      <c r="K37" s="176"/>
      <c r="L37" s="176"/>
      <c r="N37" s="51"/>
    </row>
    <row r="38" spans="1:14" ht="16.95" customHeight="1" x14ac:dyDescent="0.3">
      <c r="B38" s="91" t="s">
        <v>133</v>
      </c>
      <c r="C38" s="92">
        <f>SUM(D36:F36)</f>
        <v>2490008.0311666979</v>
      </c>
      <c r="D38" s="177"/>
      <c r="E38" s="178"/>
      <c r="H38" s="176"/>
      <c r="I38" s="176"/>
      <c r="J38" s="176"/>
      <c r="K38" s="176"/>
      <c r="L38" s="176"/>
      <c r="N38" s="51"/>
    </row>
    <row r="39" spans="1:14" ht="15.6" x14ac:dyDescent="0.3">
      <c r="B39" s="91" t="s">
        <v>134</v>
      </c>
      <c r="C39" s="92">
        <f>C38/'Model input'!G26</f>
        <v>63.683069850810689</v>
      </c>
      <c r="D39" s="221" t="s">
        <v>135</v>
      </c>
      <c r="E39" s="178"/>
      <c r="H39" s="176"/>
      <c r="I39" s="176"/>
      <c r="J39" s="176"/>
      <c r="K39" s="176"/>
      <c r="L39" s="176"/>
      <c r="N39" s="51"/>
    </row>
    <row r="40" spans="1:14" ht="25.8" x14ac:dyDescent="0.3">
      <c r="B40" s="158" t="s">
        <v>136</v>
      </c>
      <c r="C40" s="159">
        <f>SUM(D36:H36)</f>
        <v>3515305.45576475</v>
      </c>
      <c r="D40" s="177"/>
      <c r="E40" s="178"/>
      <c r="H40" s="176"/>
      <c r="I40" s="176"/>
      <c r="J40" s="176"/>
      <c r="K40" s="176"/>
      <c r="L40" s="176"/>
      <c r="N40" s="51"/>
    </row>
    <row r="41" spans="1:14" ht="15.6" x14ac:dyDescent="0.3">
      <c r="B41" s="158" t="s">
        <v>137</v>
      </c>
      <c r="C41" s="159">
        <f>C40/'Model input'!C27</f>
        <v>127.36613970162138</v>
      </c>
      <c r="D41" s="221" t="s">
        <v>138</v>
      </c>
      <c r="G41" s="179"/>
      <c r="H41" s="176"/>
      <c r="N41" s="51"/>
    </row>
    <row r="42" spans="1:14" ht="25.8" x14ac:dyDescent="0.3">
      <c r="B42" s="160"/>
      <c r="C42" s="180"/>
      <c r="D42" s="181"/>
      <c r="G42" s="179"/>
      <c r="N42" s="51"/>
    </row>
    <row r="43" spans="1:14" ht="21" customHeight="1" x14ac:dyDescent="0.35">
      <c r="A43" s="152"/>
      <c r="B43" s="188" t="s">
        <v>139</v>
      </c>
      <c r="C43" s="172"/>
      <c r="D43" s="173"/>
      <c r="E43" s="174"/>
      <c r="F43" s="4"/>
      <c r="G43" s="4"/>
      <c r="H43" s="4"/>
      <c r="I43" s="4"/>
      <c r="J43" s="4"/>
      <c r="K43" s="4"/>
      <c r="L43" s="4"/>
      <c r="M43" s="4"/>
      <c r="N43" s="54"/>
    </row>
    <row r="44" spans="1:14" ht="14.85" customHeight="1" x14ac:dyDescent="0.3">
      <c r="B44" s="55"/>
      <c r="F44" s="182"/>
      <c r="N44" s="51"/>
    </row>
    <row r="45" spans="1:14" ht="15.6" x14ac:dyDescent="0.3">
      <c r="B45" s="158" t="s">
        <v>56</v>
      </c>
      <c r="C45" s="161">
        <f>SUM(C27:N27)</f>
        <v>20680925.464832965</v>
      </c>
      <c r="D45" s="170"/>
      <c r="N45" s="51"/>
    </row>
    <row r="46" spans="1:14" ht="15.6" x14ac:dyDescent="0.3">
      <c r="B46" s="158" t="s">
        <v>140</v>
      </c>
      <c r="C46" s="161">
        <f>C45-C40</f>
        <v>17165620.009068213</v>
      </c>
      <c r="N46" s="51"/>
    </row>
    <row r="47" spans="1:14" ht="15.6" x14ac:dyDescent="0.3">
      <c r="B47" s="158" t="s">
        <v>141</v>
      </c>
      <c r="C47" s="161">
        <f>C45/27600</f>
        <v>749.30889365336827</v>
      </c>
      <c r="N47" s="51"/>
    </row>
    <row r="48" spans="1:14" ht="15.6" x14ac:dyDescent="0.3">
      <c r="B48" s="158" t="s">
        <v>142</v>
      </c>
      <c r="C48" s="161">
        <f>C47-C41</f>
        <v>621.94275395174691</v>
      </c>
      <c r="N48" s="51"/>
    </row>
    <row r="49" spans="1:14" ht="18" customHeight="1" x14ac:dyDescent="0.3">
      <c r="B49" s="158" t="s">
        <v>143</v>
      </c>
      <c r="C49" s="162">
        <f>AVERAGE(C4:L4)/'Model input'!C16</f>
        <v>9.5545350000000029E-2</v>
      </c>
      <c r="N49" s="51"/>
    </row>
    <row r="50" spans="1:14" x14ac:dyDescent="0.3">
      <c r="B50" s="57"/>
      <c r="F50" s="182"/>
      <c r="N50" s="51"/>
    </row>
    <row r="51" spans="1:14" ht="19.95" customHeight="1" x14ac:dyDescent="0.35">
      <c r="A51" s="152"/>
      <c r="B51" s="152" t="s">
        <v>144</v>
      </c>
      <c r="C51" s="172"/>
      <c r="D51" s="173"/>
      <c r="E51" s="174"/>
      <c r="F51" s="4"/>
      <c r="G51" s="4"/>
      <c r="H51" s="4"/>
      <c r="I51" s="4"/>
      <c r="J51" s="4"/>
      <c r="K51" s="4"/>
      <c r="L51" s="4"/>
      <c r="M51" s="4"/>
      <c r="N51" s="54"/>
    </row>
    <row r="52" spans="1:14" x14ac:dyDescent="0.3">
      <c r="B52" s="55"/>
      <c r="N52" s="51"/>
    </row>
    <row r="53" spans="1:14" ht="30" customHeight="1" x14ac:dyDescent="0.3">
      <c r="B53" s="163" t="s">
        <v>22</v>
      </c>
      <c r="C53" s="164">
        <f>C45/C40</f>
        <v>5.8831090854191102</v>
      </c>
      <c r="D53" s="208" t="s">
        <v>145</v>
      </c>
      <c r="E53" s="183"/>
      <c r="N53" s="51"/>
    </row>
    <row r="54" spans="1:14" x14ac:dyDescent="0.3">
      <c r="A54" s="55"/>
      <c r="B54" s="157"/>
      <c r="C54" s="55"/>
      <c r="D54" s="55"/>
      <c r="E54" s="55"/>
      <c r="F54" s="55"/>
      <c r="G54" s="55"/>
      <c r="H54" s="55"/>
      <c r="I54" s="222"/>
      <c r="J54" s="222"/>
      <c r="K54" s="222"/>
      <c r="L54" s="55"/>
      <c r="M54" s="222"/>
      <c r="N54" s="223"/>
    </row>
    <row r="60" spans="1:14" ht="15" customHeight="1" x14ac:dyDescent="0.3"/>
    <row r="73" spans="3:10" x14ac:dyDescent="0.3">
      <c r="D73" s="224"/>
      <c r="E73" s="2"/>
    </row>
    <row r="74" spans="3:10" x14ac:dyDescent="0.3">
      <c r="C74" s="208"/>
      <c r="D74" s="224"/>
      <c r="E74" s="218"/>
      <c r="F74" s="218"/>
      <c r="G74" s="218"/>
      <c r="H74" s="218"/>
      <c r="I74" s="218"/>
      <c r="J74" s="218"/>
    </row>
    <row r="75" spans="3:10" x14ac:dyDescent="0.3">
      <c r="C75" s="52"/>
      <c r="D75" s="225"/>
    </row>
    <row r="76" spans="3:10" x14ac:dyDescent="0.3">
      <c r="C76" s="52"/>
      <c r="D76" s="225"/>
    </row>
    <row r="77" spans="3:10" x14ac:dyDescent="0.3">
      <c r="C77" s="208"/>
      <c r="D77" s="225"/>
    </row>
    <row r="78" spans="3:10" x14ac:dyDescent="0.3">
      <c r="C78" s="208"/>
      <c r="D78" s="225"/>
    </row>
    <row r="79" spans="3:10" x14ac:dyDescent="0.3">
      <c r="C79" s="208"/>
      <c r="D79" s="225"/>
    </row>
    <row r="80" spans="3:10" x14ac:dyDescent="0.3">
      <c r="C80" s="208"/>
      <c r="D80" s="225"/>
    </row>
    <row r="81" spans="3:4" x14ac:dyDescent="0.3">
      <c r="C81" s="208"/>
      <c r="D81" s="225"/>
    </row>
    <row r="82" spans="3:4" x14ac:dyDescent="0.3">
      <c r="C82" s="208"/>
      <c r="D82" s="225"/>
    </row>
  </sheetData>
  <sortState xmlns:xlrd2="http://schemas.microsoft.com/office/spreadsheetml/2017/richdata2" ref="P32">
    <sortCondition ref="P32"/>
  </sortState>
  <mergeCells count="5">
    <mergeCell ref="B36:C36"/>
    <mergeCell ref="B33:C33"/>
    <mergeCell ref="B32:C32"/>
    <mergeCell ref="B34:C34"/>
    <mergeCell ref="B35:C35"/>
  </mergeCells>
  <phoneticPr fontId="28" type="noConversion"/>
  <conditionalFormatting sqref="B3:L3">
    <cfRule type="cellIs" dxfId="8" priority="4" operator="lessThan">
      <formula>0</formula>
    </cfRule>
  </conditionalFormatting>
  <conditionalFormatting sqref="B11:N12">
    <cfRule type="cellIs" dxfId="7" priority="3" operator="lessThan">
      <formula>0</formula>
    </cfRule>
  </conditionalFormatting>
  <conditionalFormatting sqref="B26:N26">
    <cfRule type="cellIs" dxfId="6" priority="2" operator="lessThan">
      <formula>0</formula>
    </cfRule>
  </conditionalFormatting>
  <conditionalFormatting sqref="D53">
    <cfRule type="cellIs" dxfId="5" priority="5" operator="lessThan">
      <formula>0</formula>
    </cfRule>
  </conditionalFormatting>
  <conditionalFormatting sqref="D33:F36">
    <cfRule type="cellIs" dxfId="4" priority="12" operator="lessThan">
      <formula>0</formula>
    </cfRule>
  </conditionalFormatting>
  <conditionalFormatting sqref="D31:I32">
    <cfRule type="cellIs" dxfId="3" priority="1" operator="lessThan">
      <formula>0</formula>
    </cfRule>
  </conditionalFormatting>
  <conditionalFormatting sqref="E36:F36 I36">
    <cfRule type="cellIs" dxfId="2" priority="9" operator="lessThan">
      <formula>0</formula>
    </cfRule>
  </conditionalFormatting>
  <conditionalFormatting sqref="I54:K54 M54">
    <cfRule type="cellIs" dxfId="1" priority="55" operator="lessThan">
      <formula>0</formula>
    </cfRule>
  </conditionalFormatting>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6834-1FF6-4B22-918B-EAC794C07249}">
  <dimension ref="A1:AQ50"/>
  <sheetViews>
    <sheetView showGridLines="0" tabSelected="1" zoomScaleNormal="100" workbookViewId="0">
      <selection activeCell="B2" sqref="B2"/>
    </sheetView>
  </sheetViews>
  <sheetFormatPr defaultColWidth="8.88671875" defaultRowHeight="14.4" outlineLevelCol="7" x14ac:dyDescent="0.3"/>
  <cols>
    <col min="1" max="1" width="6.109375" customWidth="1" collapsed="1"/>
    <col min="2" max="2" width="40.5546875" customWidth="1"/>
    <col min="3" max="4" width="13.88671875" customWidth="1"/>
    <col min="5" max="5" width="16" customWidth="1"/>
    <col min="6" max="8" width="13.88671875" customWidth="1"/>
    <col min="9" max="9" width="13.6640625" customWidth="1"/>
    <col min="10" max="10" width="13.33203125" customWidth="1" collapsed="1"/>
    <col min="11" max="11" width="18.33203125" customWidth="1" collapsed="1"/>
    <col min="12" max="12" width="8.33203125" customWidth="1" collapsed="1"/>
    <col min="13" max="13" width="37.109375" customWidth="1" collapsed="1"/>
    <col min="14" max="14" width="11.109375" customWidth="1" collapsed="1"/>
    <col min="15" max="15" width="4" customWidth="1" collapsed="1"/>
    <col min="16" max="16" width="9.109375" customWidth="1"/>
    <col min="17" max="19" width="8.88671875" hidden="1" customWidth="1" outlineLevel="7" collapsed="1"/>
    <col min="20" max="21" width="8.88671875" hidden="1" customWidth="1" outlineLevel="7"/>
    <col min="22" max="22" width="8.88671875" hidden="1" customWidth="1" outlineLevel="7" collapsed="1"/>
    <col min="23" max="27" width="8.88671875" hidden="1" customWidth="1" outlineLevel="7"/>
    <col min="28" max="43" width="0" hidden="1" customWidth="1" outlineLevel="7"/>
    <col min="44" max="44" width="0" hidden="1" customWidth="1" outlineLevel="7" collapsed="1"/>
    <col min="45" max="16384" width="8.88671875" outlineLevel="7" collapsed="1"/>
  </cols>
  <sheetData>
    <row r="1" spans="1:11" ht="18" x14ac:dyDescent="0.35">
      <c r="A1" s="184"/>
      <c r="B1" s="152" t="s">
        <v>146</v>
      </c>
      <c r="C1" s="86"/>
      <c r="D1" s="86"/>
      <c r="E1" s="86"/>
      <c r="F1" s="86"/>
      <c r="G1" s="86"/>
      <c r="H1" s="86"/>
      <c r="I1" s="86"/>
      <c r="J1" s="86"/>
      <c r="K1" s="90"/>
    </row>
    <row r="2" spans="1:11" x14ac:dyDescent="0.3">
      <c r="B2" s="185" t="s">
        <v>179</v>
      </c>
      <c r="K2" s="51"/>
    </row>
    <row r="3" spans="1:11" x14ac:dyDescent="0.3">
      <c r="B3" s="55"/>
      <c r="K3" s="51"/>
    </row>
    <row r="4" spans="1:11" x14ac:dyDescent="0.3">
      <c r="B4" s="79" t="s">
        <v>147</v>
      </c>
      <c r="C4" s="79" t="s">
        <v>73</v>
      </c>
      <c r="D4" s="79" t="s">
        <v>148</v>
      </c>
      <c r="E4" s="83" t="s">
        <v>149</v>
      </c>
      <c r="K4" s="51"/>
    </row>
    <row r="5" spans="1:11" x14ac:dyDescent="0.3">
      <c r="B5" s="209" t="s">
        <v>150</v>
      </c>
      <c r="C5" s="189">
        <v>0.1</v>
      </c>
      <c r="D5" s="82">
        <v>0.1</v>
      </c>
      <c r="E5" s="209" t="s">
        <v>151</v>
      </c>
      <c r="K5" s="51"/>
    </row>
    <row r="6" spans="1:11" x14ac:dyDescent="0.3">
      <c r="B6" s="80" t="s">
        <v>152</v>
      </c>
      <c r="C6" s="117">
        <v>6764419</v>
      </c>
      <c r="D6" s="81">
        <v>6764419</v>
      </c>
      <c r="E6" s="209" t="s">
        <v>151</v>
      </c>
      <c r="K6" s="51"/>
    </row>
    <row r="7" spans="1:11" x14ac:dyDescent="0.3">
      <c r="B7" s="80" t="s">
        <v>153</v>
      </c>
      <c r="C7" s="189">
        <v>0.1</v>
      </c>
      <c r="D7" s="82">
        <v>0.1</v>
      </c>
      <c r="E7" s="209" t="s">
        <v>151</v>
      </c>
      <c r="K7" s="51"/>
    </row>
    <row r="8" spans="1:11" x14ac:dyDescent="0.3">
      <c r="B8" s="80" t="s">
        <v>154</v>
      </c>
      <c r="C8" s="189">
        <v>0.03</v>
      </c>
      <c r="D8" s="84" t="s">
        <v>155</v>
      </c>
      <c r="E8" s="209" t="s">
        <v>156</v>
      </c>
      <c r="K8" s="51"/>
    </row>
    <row r="9" spans="1:11" x14ac:dyDescent="0.3">
      <c r="B9" s="80" t="s">
        <v>157</v>
      </c>
      <c r="C9" s="189">
        <v>0</v>
      </c>
      <c r="D9" s="82">
        <v>0</v>
      </c>
      <c r="E9" s="209" t="s">
        <v>158</v>
      </c>
      <c r="K9" s="51"/>
    </row>
    <row r="10" spans="1:11" x14ac:dyDescent="0.3">
      <c r="B10" s="157"/>
      <c r="K10" s="51"/>
    </row>
    <row r="11" spans="1:11" x14ac:dyDescent="0.3">
      <c r="B11" s="252" t="s">
        <v>182</v>
      </c>
      <c r="C11" s="253">
        <f>SROI!C53</f>
        <v>5.8831090854191102</v>
      </c>
      <c r="K11" s="51"/>
    </row>
    <row r="12" spans="1:11" x14ac:dyDescent="0.3">
      <c r="B12" s="57"/>
      <c r="K12" s="51"/>
    </row>
    <row r="13" spans="1:11" x14ac:dyDescent="0.3">
      <c r="B13" s="226" t="s">
        <v>150</v>
      </c>
      <c r="C13" s="208" t="s">
        <v>22</v>
      </c>
      <c r="E13" t="s">
        <v>159</v>
      </c>
      <c r="F13" t="s">
        <v>22</v>
      </c>
      <c r="K13" s="51"/>
    </row>
    <row r="14" spans="1:11" x14ac:dyDescent="0.3">
      <c r="B14" s="227">
        <v>0.15</v>
      </c>
      <c r="C14" s="208">
        <v>4.9000000000000004</v>
      </c>
      <c r="D14" s="87"/>
      <c r="E14" s="88">
        <v>0.1</v>
      </c>
      <c r="F14">
        <v>6.5</v>
      </c>
      <c r="K14" s="51"/>
    </row>
    <row r="15" spans="1:11" x14ac:dyDescent="0.3">
      <c r="B15" s="228">
        <f>C5</f>
        <v>0.1</v>
      </c>
      <c r="C15" s="208">
        <v>5.9</v>
      </c>
      <c r="E15" s="88">
        <v>0.09</v>
      </c>
      <c r="F15">
        <v>6.5</v>
      </c>
      <c r="K15" s="51"/>
    </row>
    <row r="16" spans="1:11" x14ac:dyDescent="0.3">
      <c r="B16" s="227">
        <v>0.05</v>
      </c>
      <c r="C16" s="208">
        <v>7.3</v>
      </c>
      <c r="E16" s="88">
        <v>0</v>
      </c>
      <c r="F16">
        <v>5.9</v>
      </c>
      <c r="K16" s="51"/>
    </row>
    <row r="17" spans="2:11" x14ac:dyDescent="0.3">
      <c r="B17" s="227">
        <v>0</v>
      </c>
      <c r="C17" s="208">
        <v>9.1999999999999993</v>
      </c>
      <c r="K17" s="51"/>
    </row>
    <row r="18" spans="2:11" x14ac:dyDescent="0.3">
      <c r="B18" s="53"/>
      <c r="K18" s="51"/>
    </row>
    <row r="19" spans="2:11" x14ac:dyDescent="0.3">
      <c r="B19" s="53"/>
      <c r="K19" s="51"/>
    </row>
    <row r="20" spans="2:11" x14ac:dyDescent="0.3">
      <c r="K20" s="51"/>
    </row>
    <row r="21" spans="2:11" x14ac:dyDescent="0.3">
      <c r="K21" s="51"/>
    </row>
    <row r="22" spans="2:11" ht="11.4" customHeight="1" x14ac:dyDescent="0.3">
      <c r="K22" s="51"/>
    </row>
    <row r="23" spans="2:11" x14ac:dyDescent="0.3">
      <c r="K23" s="51"/>
    </row>
    <row r="24" spans="2:11" x14ac:dyDescent="0.3">
      <c r="K24" s="51"/>
    </row>
    <row r="25" spans="2:11" x14ac:dyDescent="0.3">
      <c r="B25" s="251" t="s">
        <v>180</v>
      </c>
      <c r="K25" s="51"/>
    </row>
    <row r="26" spans="2:11" x14ac:dyDescent="0.3">
      <c r="B26" s="251" t="s">
        <v>181</v>
      </c>
      <c r="K26" s="51"/>
    </row>
    <row r="27" spans="2:11" x14ac:dyDescent="0.3">
      <c r="K27" s="51"/>
    </row>
    <row r="28" spans="2:11" x14ac:dyDescent="0.3">
      <c r="K28" s="51"/>
    </row>
    <row r="29" spans="2:11" ht="14.4" customHeight="1" x14ac:dyDescent="0.3">
      <c r="B29" s="260" t="s">
        <v>183</v>
      </c>
      <c r="C29" s="260"/>
      <c r="F29" s="255" t="s">
        <v>160</v>
      </c>
      <c r="G29" s="255"/>
      <c r="H29" s="255"/>
      <c r="I29" s="255"/>
      <c r="J29" s="255"/>
      <c r="K29" s="256"/>
    </row>
    <row r="30" spans="2:11" x14ac:dyDescent="0.3">
      <c r="B30" s="260"/>
      <c r="C30" s="260"/>
      <c r="E30" s="89">
        <f>C11</f>
        <v>5.8831090854191102</v>
      </c>
      <c r="F30" s="229">
        <v>675000</v>
      </c>
      <c r="G30" s="229">
        <v>1000000</v>
      </c>
      <c r="H30" s="229">
        <v>3058000</v>
      </c>
      <c r="I30" s="229">
        <v>6000000</v>
      </c>
      <c r="J30" s="230">
        <v>6764419</v>
      </c>
      <c r="K30" s="231">
        <v>9000000</v>
      </c>
    </row>
    <row r="31" spans="2:11" x14ac:dyDescent="0.3">
      <c r="B31" s="260"/>
      <c r="C31" s="260"/>
      <c r="E31" s="97">
        <v>0.05</v>
      </c>
      <c r="F31" s="232">
        <f t="dataTable" ref="F31:K38" dt2D="1" dtr="1" r1="C6" r2="C7" ca="1"/>
        <v>0.33828453805840764</v>
      </c>
      <c r="G31" s="232">
        <v>0.50116227860504847</v>
      </c>
      <c r="H31" s="232">
        <v>1.5325542479742376</v>
      </c>
      <c r="I31" s="232">
        <v>3.0069736716302895</v>
      </c>
      <c r="J31" s="232">
        <v>3.3900716394792831</v>
      </c>
      <c r="K31" s="233">
        <v>4.510460507445436</v>
      </c>
    </row>
    <row r="32" spans="2:11" x14ac:dyDescent="0.3">
      <c r="B32" s="260"/>
      <c r="C32" s="260"/>
      <c r="D32" s="254" t="s">
        <v>161</v>
      </c>
      <c r="E32" s="234">
        <v>0.1</v>
      </c>
      <c r="F32" s="232">
        <v>0.58705686810026081</v>
      </c>
      <c r="G32" s="232">
        <v>0.86971387866705308</v>
      </c>
      <c r="H32" s="232">
        <v>2.6595850409638477</v>
      </c>
      <c r="I32" s="232">
        <v>5.218283272002318</v>
      </c>
      <c r="J32" s="235">
        <v>5.8831090854191102</v>
      </c>
      <c r="K32" s="233">
        <v>7.8274249080034783</v>
      </c>
    </row>
    <row r="33" spans="2:11" x14ac:dyDescent="0.3">
      <c r="B33" s="260"/>
      <c r="C33" s="260"/>
      <c r="D33" s="254"/>
      <c r="E33" s="236">
        <v>0.15</v>
      </c>
      <c r="F33" s="232">
        <v>0.83582919814211409</v>
      </c>
      <c r="G33" s="232">
        <v>1.2382654787290575</v>
      </c>
      <c r="H33" s="232">
        <v>3.7866158339534586</v>
      </c>
      <c r="I33" s="232">
        <v>7.4295928723743492</v>
      </c>
      <c r="J33" s="232">
        <v>8.3761465313589341</v>
      </c>
      <c r="K33" s="233">
        <v>11.14438930856152</v>
      </c>
    </row>
    <row r="34" spans="2:11" x14ac:dyDescent="0.3">
      <c r="B34" s="260"/>
      <c r="C34" s="260"/>
      <c r="D34" s="254"/>
      <c r="E34" s="236">
        <v>0.2</v>
      </c>
      <c r="F34" s="232">
        <v>1.0846015281839672</v>
      </c>
      <c r="G34" s="232">
        <v>1.6068170787910625</v>
      </c>
      <c r="H34" s="232">
        <v>4.913646626943069</v>
      </c>
      <c r="I34" s="232">
        <v>9.6409024727463741</v>
      </c>
      <c r="J34" s="232">
        <v>10.869183977298762</v>
      </c>
      <c r="K34" s="233">
        <v>14.461353709119566</v>
      </c>
    </row>
    <row r="35" spans="2:11" x14ac:dyDescent="0.3">
      <c r="B35" s="260"/>
      <c r="C35" s="260"/>
      <c r="D35" s="254"/>
      <c r="E35" s="236">
        <v>0.25</v>
      </c>
      <c r="F35" s="232">
        <v>1.3333738582258203</v>
      </c>
      <c r="G35" s="232">
        <v>1.9753686788530673</v>
      </c>
      <c r="H35" s="232">
        <v>6.0406774199326803</v>
      </c>
      <c r="I35" s="232">
        <v>11.8522120731184</v>
      </c>
      <c r="J35" s="232">
        <v>13.362221423238585</v>
      </c>
      <c r="K35" s="233">
        <v>17.778318109677603</v>
      </c>
    </row>
    <row r="36" spans="2:11" x14ac:dyDescent="0.3">
      <c r="B36" s="260"/>
      <c r="C36" s="260"/>
      <c r="D36" s="254"/>
      <c r="E36" s="236">
        <v>0.3</v>
      </c>
      <c r="F36" s="232">
        <v>1.5821461882676737</v>
      </c>
      <c r="G36" s="232">
        <v>2.3439202789150717</v>
      </c>
      <c r="H36" s="232">
        <v>7.1677082129222898</v>
      </c>
      <c r="I36" s="232">
        <v>14.063521673490435</v>
      </c>
      <c r="J36" s="232">
        <v>15.855258869178408</v>
      </c>
      <c r="K36" s="233">
        <v>21.095282510235645</v>
      </c>
    </row>
    <row r="37" spans="2:11" x14ac:dyDescent="0.3">
      <c r="B37" s="260"/>
      <c r="C37" s="260"/>
      <c r="D37" s="254"/>
      <c r="E37" s="236">
        <v>0.5</v>
      </c>
      <c r="F37" s="232">
        <v>2.577235508435086</v>
      </c>
      <c r="G37" s="232">
        <v>3.818126679163091</v>
      </c>
      <c r="H37" s="232">
        <v>11.675831384880734</v>
      </c>
      <c r="I37" s="232">
        <v>22.908760074978542</v>
      </c>
      <c r="J37" s="232">
        <v>25.827408652937713</v>
      </c>
      <c r="K37" s="233">
        <v>34.363140112467818</v>
      </c>
    </row>
    <row r="38" spans="2:11" ht="15.75" customHeight="1" x14ac:dyDescent="0.3">
      <c r="B38" s="260"/>
      <c r="C38" s="260"/>
      <c r="D38" s="254"/>
      <c r="E38" s="236">
        <v>1</v>
      </c>
      <c r="F38" s="232">
        <v>5.0649588088536177</v>
      </c>
      <c r="G38" s="232">
        <v>7.5036426797831393</v>
      </c>
      <c r="H38" s="232">
        <v>22.94613931477684</v>
      </c>
      <c r="I38" s="232">
        <v>45.021856078698832</v>
      </c>
      <c r="J38" s="232">
        <v>50.757783112335972</v>
      </c>
      <c r="K38" s="233">
        <v>67.532784118048241</v>
      </c>
    </row>
    <row r="39" spans="2:11" x14ac:dyDescent="0.3">
      <c r="B39" s="260"/>
      <c r="C39" s="260"/>
      <c r="K39" s="51"/>
    </row>
    <row r="40" spans="2:11" x14ac:dyDescent="0.3">
      <c r="B40" s="260"/>
      <c r="C40" s="260"/>
      <c r="K40" s="51"/>
    </row>
    <row r="41" spans="2:11" x14ac:dyDescent="0.3">
      <c r="K41" s="51"/>
    </row>
    <row r="42" spans="2:11" x14ac:dyDescent="0.3">
      <c r="B42" s="257" t="s">
        <v>184</v>
      </c>
      <c r="C42" s="258"/>
      <c r="E42" s="237"/>
      <c r="F42" s="238" t="s">
        <v>22</v>
      </c>
      <c r="K42" s="51"/>
    </row>
    <row r="43" spans="2:11" x14ac:dyDescent="0.3">
      <c r="B43" s="258"/>
      <c r="C43" s="258"/>
      <c r="E43" s="237"/>
      <c r="F43" s="85">
        <f>C11</f>
        <v>5.8831090854191102</v>
      </c>
      <c r="K43" s="51"/>
    </row>
    <row r="44" spans="2:11" x14ac:dyDescent="0.3">
      <c r="B44" s="258"/>
      <c r="C44" s="258"/>
      <c r="E44" s="239">
        <v>-0.15</v>
      </c>
      <c r="F44" s="232">
        <f t="dataTable" ref="F44:F50" dt2D="0" dtr="0" r1="C8"/>
        <v>4.329921403970463</v>
      </c>
      <c r="K44" s="51"/>
    </row>
    <row r="45" spans="2:11" x14ac:dyDescent="0.3">
      <c r="B45" s="258"/>
      <c r="C45" s="258"/>
      <c r="E45" s="240">
        <v>-0.1</v>
      </c>
      <c r="F45" s="232">
        <v>4.7118072261862372</v>
      </c>
      <c r="K45" s="51"/>
    </row>
    <row r="46" spans="2:11" x14ac:dyDescent="0.3">
      <c r="B46" s="258"/>
      <c r="C46" s="258"/>
      <c r="E46" s="240">
        <v>-0.05</v>
      </c>
      <c r="F46" s="232">
        <v>5.1308105431556843</v>
      </c>
      <c r="K46" s="51"/>
    </row>
    <row r="47" spans="2:11" x14ac:dyDescent="0.3">
      <c r="B47" s="258"/>
      <c r="C47" s="258"/>
      <c r="E47" s="240">
        <v>-0.03</v>
      </c>
      <c r="F47" s="232">
        <v>5.3092255623484998</v>
      </c>
      <c r="K47" s="51"/>
    </row>
    <row r="48" spans="2:11" x14ac:dyDescent="0.3">
      <c r="B48" s="258"/>
      <c r="C48" s="258"/>
      <c r="E48" s="240">
        <v>0</v>
      </c>
      <c r="F48" s="232">
        <v>5.5888098989591999</v>
      </c>
      <c r="K48" s="51"/>
    </row>
    <row r="49" spans="2:12" x14ac:dyDescent="0.3">
      <c r="B49" s="258"/>
      <c r="C49" s="258"/>
      <c r="E49" s="241">
        <v>0.03</v>
      </c>
      <c r="F49" s="235">
        <v>5.8831090854191102</v>
      </c>
      <c r="K49" s="51"/>
      <c r="L49" s="53"/>
    </row>
    <row r="50" spans="2:12" x14ac:dyDescent="0.3">
      <c r="B50" s="259"/>
      <c r="C50" s="259"/>
      <c r="D50" s="55"/>
      <c r="E50" s="242">
        <v>0.1</v>
      </c>
      <c r="F50" s="243">
        <v>6.6293109033900421</v>
      </c>
      <c r="G50" s="55"/>
      <c r="H50" s="55"/>
      <c r="I50" s="55"/>
      <c r="J50" s="55"/>
      <c r="K50" s="56"/>
      <c r="L50" s="53"/>
    </row>
  </sheetData>
  <mergeCells count="4">
    <mergeCell ref="D32:D38"/>
    <mergeCell ref="F29:K29"/>
    <mergeCell ref="B42:C50"/>
    <mergeCell ref="B29:C4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54663-C52C-481D-BDBA-9804EDB4C6C9}">
  <dimension ref="A1"/>
  <sheetViews>
    <sheetView showGridLines="0" zoomScale="110" zoomScaleNormal="110" workbookViewId="0">
      <selection activeCell="S51" sqref="S51"/>
    </sheetView>
  </sheetViews>
  <sheetFormatPr defaultColWidth="8.5546875"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A70A-8342-4FFD-AE9A-180ACCAEBB79}">
  <dimension ref="B1:E10"/>
  <sheetViews>
    <sheetView showGridLines="0" zoomScale="80" workbookViewId="0">
      <selection activeCell="I18" sqref="I18"/>
    </sheetView>
  </sheetViews>
  <sheetFormatPr defaultColWidth="8.5546875" defaultRowHeight="14.4" x14ac:dyDescent="0.3"/>
  <cols>
    <col min="1" max="1" width="4.44140625" customWidth="1"/>
    <col min="2" max="2" width="36.44140625" customWidth="1"/>
    <col min="3" max="3" width="11.44140625" bestFit="1" customWidth="1"/>
    <col min="4" max="4" width="20" customWidth="1"/>
    <col min="5" max="5" width="75.44140625" customWidth="1"/>
  </cols>
  <sheetData>
    <row r="1" spans="2:5" ht="18" x14ac:dyDescent="0.35">
      <c r="B1" s="152" t="s">
        <v>162</v>
      </c>
      <c r="C1" s="20"/>
      <c r="D1" s="20"/>
      <c r="E1" s="20"/>
    </row>
    <row r="3" spans="2:5" x14ac:dyDescent="0.3">
      <c r="B3" s="70" t="s">
        <v>163</v>
      </c>
      <c r="C3" s="70" t="s">
        <v>73</v>
      </c>
      <c r="D3" s="70" t="s">
        <v>76</v>
      </c>
      <c r="E3" s="70" t="s">
        <v>77</v>
      </c>
    </row>
    <row r="4" spans="2:5" x14ac:dyDescent="0.3">
      <c r="B4" s="244" t="s">
        <v>164</v>
      </c>
      <c r="C4" s="245">
        <f>2.5*0.4046856422</f>
        <v>1.0117141054999998</v>
      </c>
      <c r="D4" s="100" t="s">
        <v>165</v>
      </c>
      <c r="E4" s="3"/>
    </row>
    <row r="5" spans="2:5" x14ac:dyDescent="0.3">
      <c r="B5" s="244" t="s">
        <v>166</v>
      </c>
      <c r="C5" s="245">
        <f>0.8*0.4046856422</f>
        <v>0.32374851376000002</v>
      </c>
      <c r="D5" s="100" t="s">
        <v>165</v>
      </c>
      <c r="E5" s="3"/>
    </row>
    <row r="6" spans="2:5" ht="28.8" x14ac:dyDescent="0.3">
      <c r="B6" s="244" t="s">
        <v>167</v>
      </c>
      <c r="C6" s="246">
        <f>299*2.471</f>
        <v>738.82900000000006</v>
      </c>
      <c r="D6" s="100" t="s">
        <v>168</v>
      </c>
      <c r="E6" s="244" t="s">
        <v>169</v>
      </c>
    </row>
    <row r="7" spans="2:5" ht="28.8" x14ac:dyDescent="0.3">
      <c r="B7" s="244" t="s">
        <v>170</v>
      </c>
      <c r="C7" s="246">
        <f>333/0.4*2.47</f>
        <v>2056.2750000000001</v>
      </c>
      <c r="D7" s="100" t="s">
        <v>171</v>
      </c>
      <c r="E7" s="244" t="s">
        <v>172</v>
      </c>
    </row>
    <row r="8" spans="2:5" ht="28.8" x14ac:dyDescent="0.3">
      <c r="B8" s="244" t="s">
        <v>173</v>
      </c>
      <c r="C8" s="246">
        <f>2/0.4</f>
        <v>5</v>
      </c>
      <c r="D8" s="100" t="s">
        <v>174</v>
      </c>
      <c r="E8" s="244" t="s">
        <v>175</v>
      </c>
    </row>
    <row r="9" spans="2:5" x14ac:dyDescent="0.3">
      <c r="B9" s="247" t="s">
        <v>176</v>
      </c>
      <c r="C9" s="248">
        <v>920500</v>
      </c>
      <c r="D9" s="247" t="s">
        <v>177</v>
      </c>
      <c r="E9" s="249"/>
    </row>
    <row r="10" spans="2:5" x14ac:dyDescent="0.3">
      <c r="B10" s="250" t="s">
        <v>178</v>
      </c>
      <c r="C10" s="248">
        <v>3058000</v>
      </c>
      <c r="D10" s="247" t="s">
        <v>177</v>
      </c>
      <c r="E10" s="249"/>
    </row>
  </sheetData>
  <conditionalFormatting sqref="B3:E3">
    <cfRule type="cellIs" dxfId="0" priority="1" operator="lessThan">
      <formula>0</formula>
    </cfRule>
  </conditionalFormatting>
  <hyperlinks>
    <hyperlink ref="D4:D8" r:id="rId1" display="Laterite baseline report, p. 38" xr:uid="{DCBBF5DE-DB61-4074-9078-14640C750F73}"/>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2.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3.xml><?xml version="1.0" encoding="utf-8"?>
<ds:datastoreItem xmlns:ds="http://schemas.openxmlformats.org/officeDocument/2006/customXml" ds:itemID="{06D29109-8AF0-4F2B-91EB-D8D5140DC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Summary</vt:lpstr>
      <vt:lpstr>ToC</vt:lpstr>
      <vt:lpstr>Model input</vt:lpstr>
      <vt:lpstr>SROI</vt:lpstr>
      <vt:lpstr>Sensitivity analysis</vt:lpstr>
      <vt:lpstr>Info</vt:lpstr>
      <vt:lpstr>Sample characteristics</vt:lpstr>
      <vt:lpstr>'Sensitivity analysis'!Druckbereich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Wiegel, Sarah</cp:lastModifiedBy>
  <cp:revision/>
  <dcterms:created xsi:type="dcterms:W3CDTF">2021-10-12T15:11:17Z</dcterms:created>
  <dcterms:modified xsi:type="dcterms:W3CDTF">2026-08-13T10:02:51Z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22106601e97b41bf94bbe600df0f237c</vt:lpwstr>
  </property>
</Properties>
</file>