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herewegrow.sharepoint.com/sites/herewegrow.org/Freigegebene Dokumente/01 Projekte/01 Laufend/D_1AF01/06 MEL/01_SROI/"/>
    </mc:Choice>
  </mc:AlternateContent>
  <xr:revisionPtr revIDLastSave="461" documentId="8_{B795D7E8-5748-4FCF-A59B-C7AD5B101C2F}" xr6:coauthVersionLast="47" xr6:coauthVersionMax="47" xr10:uidLastSave="{067D14B5-2A31-4DD7-80D9-DDD09844CFB9}"/>
  <bookViews>
    <workbookView xWindow="-108" yWindow="-108" windowWidth="23256" windowHeight="12456" xr2:uid="{D727DE2A-A20A-4F61-A634-FF4E86980CF5}"/>
  </bookViews>
  <sheets>
    <sheet name="Summary" sheetId="6" r:id="rId1"/>
    <sheet name="ToC" sheetId="8" r:id="rId2"/>
    <sheet name="Model input" sheetId="5" r:id="rId3"/>
    <sheet name="SROI" sheetId="2" r:id="rId4"/>
    <sheet name="Sensitivity analysis" sheetId="9" r:id="rId5"/>
    <sheet name="Info"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4" i="2" l="1"/>
  <c r="F37" i="2" l="1"/>
  <c r="F85" i="2"/>
  <c r="F80" i="2" l="1"/>
  <c r="C27" i="6" l="1"/>
  <c r="D101" i="2" l="1"/>
  <c r="G85" i="5"/>
  <c r="N117" i="2" l="1"/>
  <c r="O118" i="2" s="1"/>
  <c r="P119" i="2" s="1"/>
  <c r="O117" i="2"/>
  <c r="P118" i="2" s="1"/>
  <c r="P117" i="2"/>
  <c r="B23" i="9" l="1"/>
  <c r="C26" i="5"/>
  <c r="C28" i="6" l="1"/>
  <c r="E71" i="2" l="1"/>
  <c r="F24" i="2" l="1"/>
  <c r="C57" i="5" l="1"/>
  <c r="G80" i="2" s="1"/>
  <c r="G84" i="2" s="1"/>
  <c r="C47" i="5"/>
  <c r="C27" i="5"/>
  <c r="G24" i="2" l="1"/>
  <c r="F71" i="2"/>
  <c r="C29" i="5"/>
  <c r="G71" i="2" l="1"/>
  <c r="H24" i="2"/>
  <c r="H71" i="2" l="1"/>
  <c r="I24" i="2"/>
  <c r="I71" i="2" l="1"/>
  <c r="J24" i="2"/>
  <c r="J71" i="2" l="1"/>
  <c r="K24" i="2"/>
  <c r="K71" i="2" l="1"/>
  <c r="L24" i="2"/>
  <c r="L71" i="2" l="1"/>
  <c r="M24" i="2"/>
  <c r="M71" i="2" l="1"/>
  <c r="N24" i="2"/>
  <c r="C12" i="5" l="1"/>
  <c r="C60" i="5" s="1"/>
  <c r="C76" i="5"/>
  <c r="E39" i="2" l="1"/>
  <c r="E40" i="2" s="1"/>
  <c r="C59" i="5"/>
  <c r="F54" i="2"/>
  <c r="G54" i="2" s="1"/>
  <c r="H54" i="2" s="1"/>
  <c r="I54" i="2" s="1"/>
  <c r="J54" i="2" s="1"/>
  <c r="K54" i="2" s="1"/>
  <c r="L54" i="2" s="1"/>
  <c r="M54" i="2" s="1"/>
  <c r="G7" i="2"/>
  <c r="H7" i="2" s="1"/>
  <c r="I7" i="2" s="1"/>
  <c r="J7" i="2" s="1"/>
  <c r="K7" i="2" s="1"/>
  <c r="L7" i="2" s="1"/>
  <c r="M7" i="2" s="1"/>
  <c r="N7" i="2" s="1"/>
  <c r="G137" i="2"/>
  <c r="F137" i="2"/>
  <c r="E137" i="2"/>
  <c r="D137" i="2"/>
  <c r="C13" i="6" l="1"/>
  <c r="F72" i="5"/>
  <c r="E68" i="5"/>
  <c r="C61" i="5" l="1"/>
  <c r="F83" i="5"/>
  <c r="E83" i="5"/>
  <c r="D83" i="5"/>
  <c r="C83" i="5"/>
  <c r="C85" i="5" s="1"/>
  <c r="F81" i="5"/>
  <c r="E81" i="5"/>
  <c r="D81" i="5"/>
  <c r="C58" i="5"/>
  <c r="C50" i="5"/>
  <c r="I35" i="5"/>
  <c r="C36" i="5"/>
  <c r="C37" i="5"/>
  <c r="C39" i="5"/>
  <c r="C40" i="5"/>
  <c r="F16" i="2" s="1"/>
  <c r="C42" i="5"/>
  <c r="I18" i="5"/>
  <c r="C19" i="5"/>
  <c r="I19" i="5"/>
  <c r="C20" i="5"/>
  <c r="C21" i="5" s="1"/>
  <c r="C23" i="5"/>
  <c r="C24" i="5"/>
  <c r="F33" i="2"/>
  <c r="F36" i="2" s="1"/>
  <c r="O103" i="2"/>
  <c r="P104" i="2" s="1"/>
  <c r="P103" i="2"/>
  <c r="Q69" i="5"/>
  <c r="R69" i="5"/>
  <c r="S69" i="5"/>
  <c r="T69" i="5"/>
  <c r="Q73" i="5"/>
  <c r="R73" i="5"/>
  <c r="S73" i="5"/>
  <c r="T73" i="5"/>
  <c r="J73" i="2"/>
  <c r="K73" i="2"/>
  <c r="L73" i="2"/>
  <c r="M73" i="2"/>
  <c r="I73" i="2"/>
  <c r="E73" i="2"/>
  <c r="E74" i="2" s="1"/>
  <c r="E75" i="2" s="1"/>
  <c r="K26" i="2"/>
  <c r="L26" i="2"/>
  <c r="M26" i="2"/>
  <c r="N26" i="2"/>
  <c r="J26" i="2"/>
  <c r="G26" i="2"/>
  <c r="G27" i="2" s="1"/>
  <c r="F26" i="2"/>
  <c r="F27" i="2" s="1"/>
  <c r="F28" i="2" s="1"/>
  <c r="H26" i="2"/>
  <c r="H33" i="2" l="1"/>
  <c r="H37" i="2" s="1"/>
  <c r="C22" i="5"/>
  <c r="E5" i="2" s="1"/>
  <c r="F85" i="5"/>
  <c r="C15" i="6" s="1"/>
  <c r="I22" i="5"/>
  <c r="E85" i="5"/>
  <c r="D85" i="5"/>
  <c r="G33" i="2"/>
  <c r="G37" i="2" s="1"/>
  <c r="F82" i="2"/>
  <c r="G18" i="2"/>
  <c r="H18" i="2"/>
  <c r="I18" i="2"/>
  <c r="J18" i="2"/>
  <c r="K18" i="2"/>
  <c r="L18" i="2"/>
  <c r="M18" i="2"/>
  <c r="N18" i="2"/>
  <c r="F18" i="2"/>
  <c r="G16" i="2"/>
  <c r="H16" i="2"/>
  <c r="I16" i="2"/>
  <c r="J16" i="2"/>
  <c r="K16" i="2"/>
  <c r="L16" i="2"/>
  <c r="M16" i="2"/>
  <c r="N16" i="2"/>
  <c r="I15" i="2"/>
  <c r="H15" i="2"/>
  <c r="J15" i="2"/>
  <c r="G15" i="2"/>
  <c r="K15" i="2"/>
  <c r="L15" i="2"/>
  <c r="M15" i="2"/>
  <c r="N15" i="2"/>
  <c r="F15" i="2"/>
  <c r="H80" i="2"/>
  <c r="H84" i="2" s="1"/>
  <c r="D115" i="2"/>
  <c r="E101" i="2"/>
  <c r="H107" i="2"/>
  <c r="I108" i="2" s="1"/>
  <c r="J109" i="2" s="1"/>
  <c r="K110" i="2" s="1"/>
  <c r="H108" i="2"/>
  <c r="I109" i="2" s="1"/>
  <c r="J110" i="2" s="1"/>
  <c r="H109" i="2"/>
  <c r="I110" i="2" s="1"/>
  <c r="H110" i="2"/>
  <c r="J103" i="2"/>
  <c r="K104" i="2" s="1"/>
  <c r="L105" i="2" s="1"/>
  <c r="M106" i="2" s="1"/>
  <c r="N107" i="2" s="1"/>
  <c r="O108" i="2" s="1"/>
  <c r="P109" i="2" s="1"/>
  <c r="K103" i="2"/>
  <c r="L104" i="2" s="1"/>
  <c r="M105" i="2" s="1"/>
  <c r="N106" i="2" s="1"/>
  <c r="O107" i="2" s="1"/>
  <c r="P108" i="2" s="1"/>
  <c r="L103" i="2"/>
  <c r="M104" i="2" s="1"/>
  <c r="N105" i="2" s="1"/>
  <c r="O106" i="2" s="1"/>
  <c r="P107" i="2" s="1"/>
  <c r="M103" i="2"/>
  <c r="N104" i="2" s="1"/>
  <c r="O105" i="2" s="1"/>
  <c r="P106" i="2" s="1"/>
  <c r="N103" i="2"/>
  <c r="O104" i="2" s="1"/>
  <c r="P105" i="2" s="1"/>
  <c r="G36" i="2" l="1"/>
  <c r="H36" i="2"/>
  <c r="F102" i="2"/>
  <c r="G103" i="2" s="1"/>
  <c r="C87" i="5"/>
  <c r="G82" i="2"/>
  <c r="I80" i="2"/>
  <c r="I84" i="2" s="1"/>
  <c r="H82" i="2"/>
  <c r="H85" i="2" s="1"/>
  <c r="I33" i="2"/>
  <c r="I37" i="2" s="1"/>
  <c r="E116" i="2"/>
  <c r="G85" i="2" l="1"/>
  <c r="I36" i="2"/>
  <c r="I35" i="2"/>
  <c r="H104" i="2"/>
  <c r="I105" i="2" s="1"/>
  <c r="J106" i="2" s="1"/>
  <c r="K107" i="2" s="1"/>
  <c r="L108" i="2" s="1"/>
  <c r="M109" i="2" s="1"/>
  <c r="N110" i="2" s="1"/>
  <c r="I82" i="2"/>
  <c r="I85" i="2" s="1"/>
  <c r="J80" i="2"/>
  <c r="J84" i="2" s="1"/>
  <c r="J33" i="2"/>
  <c r="J37" i="2" s="1"/>
  <c r="F5" i="2"/>
  <c r="G5" i="2" s="1"/>
  <c r="H5" i="2" s="1"/>
  <c r="I5" i="2" s="1"/>
  <c r="J5" i="2" s="1"/>
  <c r="K5" i="2" s="1"/>
  <c r="L5" i="2" s="1"/>
  <c r="M5" i="2" s="1"/>
  <c r="N5" i="2" s="1"/>
  <c r="F117" i="2"/>
  <c r="J36" i="2" l="1"/>
  <c r="I38" i="2"/>
  <c r="J35" i="2"/>
  <c r="G118" i="2"/>
  <c r="H119" i="2" s="1"/>
  <c r="I120" i="2" s="1"/>
  <c r="J121" i="2" s="1"/>
  <c r="K122" i="2" s="1"/>
  <c r="L123" i="2" s="1"/>
  <c r="M124" i="2" s="1"/>
  <c r="J82" i="2"/>
  <c r="J85" i="2" s="1"/>
  <c r="K80" i="2"/>
  <c r="K84" i="2" s="1"/>
  <c r="K33" i="2"/>
  <c r="K37" i="2" s="1"/>
  <c r="K36" i="2" l="1"/>
  <c r="J38" i="2"/>
  <c r="K35" i="2"/>
  <c r="K82" i="2"/>
  <c r="K85" i="2" s="1"/>
  <c r="L80" i="2"/>
  <c r="L84" i="2" s="1"/>
  <c r="L33" i="2"/>
  <c r="L37" i="2" s="1"/>
  <c r="I65" i="2"/>
  <c r="G63" i="2"/>
  <c r="H63" i="2"/>
  <c r="K63" i="2"/>
  <c r="M63" i="2"/>
  <c r="H62" i="2"/>
  <c r="I62" i="2"/>
  <c r="J62" i="2"/>
  <c r="M62" i="2"/>
  <c r="E63" i="2"/>
  <c r="G62" i="2"/>
  <c r="L62" i="2"/>
  <c r="K65" i="2"/>
  <c r="L65" i="2"/>
  <c r="M65" i="2"/>
  <c r="E65" i="2"/>
  <c r="F63" i="2"/>
  <c r="I63" i="2"/>
  <c r="J63" i="2"/>
  <c r="L63" i="2"/>
  <c r="F62" i="2"/>
  <c r="K62" i="2"/>
  <c r="E62" i="2"/>
  <c r="J65" i="2"/>
  <c r="G65" i="2"/>
  <c r="H65" i="2"/>
  <c r="F65" i="2"/>
  <c r="K38" i="2" l="1"/>
  <c r="L36" i="2"/>
  <c r="M80" i="2"/>
  <c r="M84" i="2" s="1"/>
  <c r="L82" i="2"/>
  <c r="L85" i="2" s="1"/>
  <c r="M33" i="2"/>
  <c r="M37" i="2" s="1"/>
  <c r="L35" i="2"/>
  <c r="M83" i="2" l="1"/>
  <c r="L38" i="2"/>
  <c r="M36" i="2"/>
  <c r="N33" i="2"/>
  <c r="M35" i="2"/>
  <c r="M82" i="2"/>
  <c r="F86" i="2"/>
  <c r="F138" i="2"/>
  <c r="G138" i="2"/>
  <c r="E138" i="2"/>
  <c r="D138" i="2"/>
  <c r="M85" i="2" l="1"/>
  <c r="N36" i="2"/>
  <c r="N37" i="2"/>
  <c r="M38" i="2"/>
  <c r="D139" i="2"/>
  <c r="D140" i="2" s="1"/>
  <c r="E139" i="2"/>
  <c r="E140" i="2" s="1"/>
  <c r="G139" i="2"/>
  <c r="G140" i="2" s="1"/>
  <c r="F139" i="2"/>
  <c r="F140" i="2" s="1"/>
  <c r="N35" i="2"/>
  <c r="N38" i="2" l="1"/>
  <c r="N39" i="2" s="1"/>
  <c r="C142" i="2"/>
  <c r="C143" i="2" s="1"/>
  <c r="F35" i="2"/>
  <c r="F38" i="2" s="1"/>
  <c r="G35" i="2"/>
  <c r="G38" i="2" s="1"/>
  <c r="F87" i="2"/>
  <c r="I140" i="2" l="1"/>
  <c r="H140" i="2"/>
  <c r="J39" i="2"/>
  <c r="I39" i="2"/>
  <c r="L39" i="2"/>
  <c r="M39" i="2"/>
  <c r="H35" i="2"/>
  <c r="H38" i="2" s="1"/>
  <c r="G39" i="2" l="1"/>
  <c r="G40" i="2" s="1"/>
  <c r="G41" i="2" s="1"/>
  <c r="F39" i="2"/>
  <c r="F40" i="2" s="1"/>
  <c r="F41" i="2" s="1"/>
  <c r="I86" i="2"/>
  <c r="H86" i="2"/>
  <c r="G86" i="2"/>
  <c r="M86" i="2"/>
  <c r="L86" i="2"/>
  <c r="J86" i="2"/>
  <c r="K86" i="2"/>
  <c r="M40" i="2"/>
  <c r="M41" i="2" s="1"/>
  <c r="L40" i="2"/>
  <c r="L41" i="2" s="1"/>
  <c r="I40" i="2"/>
  <c r="I41" i="2" s="1"/>
  <c r="I87" i="2" l="1"/>
  <c r="H87" i="2"/>
  <c r="H39" i="2"/>
  <c r="H40" i="2" s="1"/>
  <c r="H41" i="2" s="1"/>
  <c r="K39" i="2"/>
  <c r="K40" i="2" s="1"/>
  <c r="K41" i="2" s="1"/>
  <c r="G87" i="2"/>
  <c r="M87" i="2"/>
  <c r="K87" i="2"/>
  <c r="L87" i="2"/>
  <c r="J87" i="2"/>
  <c r="N40" i="2"/>
  <c r="N41" i="2" s="1"/>
  <c r="J40" i="2"/>
  <c r="J41" i="2" s="1"/>
  <c r="G69" i="5"/>
  <c r="F69" i="5"/>
  <c r="G68" i="5" l="1"/>
  <c r="H124" i="2" l="1"/>
  <c r="H123" i="2"/>
  <c r="I124" i="2" s="1"/>
  <c r="H122" i="2"/>
  <c r="I123" i="2" s="1"/>
  <c r="J124" i="2" s="1"/>
  <c r="H121" i="2"/>
  <c r="I122" i="2" s="1"/>
  <c r="J123" i="2" s="1"/>
  <c r="K124" i="2" s="1"/>
  <c r="H120" i="2"/>
  <c r="M117" i="2"/>
  <c r="N118" i="2" s="1"/>
  <c r="O119" i="2" s="1"/>
  <c r="P120" i="2" s="1"/>
  <c r="L117" i="2"/>
  <c r="M118" i="2" s="1"/>
  <c r="N119" i="2" s="1"/>
  <c r="O120" i="2" s="1"/>
  <c r="P121" i="2" s="1"/>
  <c r="K117" i="2"/>
  <c r="L118" i="2" s="1"/>
  <c r="M119" i="2" s="1"/>
  <c r="N120" i="2" s="1"/>
  <c r="O121" i="2" s="1"/>
  <c r="P122" i="2" s="1"/>
  <c r="J117" i="2"/>
  <c r="K118" i="2" s="1"/>
  <c r="L119" i="2" s="1"/>
  <c r="M120" i="2" s="1"/>
  <c r="N121" i="2" s="1"/>
  <c r="O122" i="2" s="1"/>
  <c r="P123" i="2" s="1"/>
  <c r="E115" i="2" l="1"/>
  <c r="D87" i="5" s="1"/>
  <c r="I121" i="2"/>
  <c r="J122" i="2" s="1"/>
  <c r="K123" i="2" s="1"/>
  <c r="L124" i="2" s="1"/>
  <c r="H106" i="2"/>
  <c r="I107" i="2" s="1"/>
  <c r="J108" i="2" s="1"/>
  <c r="K109" i="2" s="1"/>
  <c r="L110" i="2" s="1"/>
  <c r="H105" i="2" l="1"/>
  <c r="I106" i="2" s="1"/>
  <c r="J107" i="2" s="1"/>
  <c r="F101" i="2"/>
  <c r="F116" i="2"/>
  <c r="G102" i="2" l="1"/>
  <c r="H103" i="2" s="1"/>
  <c r="I104" i="2" s="1"/>
  <c r="J105" i="2" s="1"/>
  <c r="K106" i="2" s="1"/>
  <c r="L107" i="2" s="1"/>
  <c r="M108" i="2" s="1"/>
  <c r="N109" i="2" s="1"/>
  <c r="O110" i="2" s="1"/>
  <c r="F115" i="2"/>
  <c r="G117" i="2"/>
  <c r="K108" i="2"/>
  <c r="L109" i="2" s="1"/>
  <c r="M110" i="2" s="1"/>
  <c r="G101" i="2" l="1"/>
  <c r="H102" i="2" s="1"/>
  <c r="I103" i="2" s="1"/>
  <c r="J104" i="2" s="1"/>
  <c r="K105" i="2" s="1"/>
  <c r="L106" i="2" s="1"/>
  <c r="M107" i="2" s="1"/>
  <c r="N108" i="2" s="1"/>
  <c r="O109" i="2" s="1"/>
  <c r="P110" i="2" s="1"/>
  <c r="G116" i="2"/>
  <c r="E87" i="5"/>
  <c r="H118" i="2"/>
  <c r="I119" i="2" s="1"/>
  <c r="J120" i="2" s="1"/>
  <c r="K121" i="2" s="1"/>
  <c r="L122" i="2" s="1"/>
  <c r="M123" i="2" s="1"/>
  <c r="N124" i="2" s="1"/>
  <c r="G115" i="2" l="1"/>
  <c r="C14" i="6" s="1"/>
  <c r="H117" i="2"/>
  <c r="I118" i="2" s="1"/>
  <c r="J119" i="2" s="1"/>
  <c r="K120" i="2" s="1"/>
  <c r="L121" i="2" s="1"/>
  <c r="M122" i="2" s="1"/>
  <c r="N123" i="2" s="1"/>
  <c r="O124" i="2" s="1"/>
  <c r="F87" i="5" l="1"/>
  <c r="H116" i="2"/>
  <c r="I117" i="2" l="1"/>
  <c r="J118" i="2" s="1"/>
  <c r="K119" i="2" s="1"/>
  <c r="L120" i="2" s="1"/>
  <c r="M121" i="2" s="1"/>
  <c r="N122" i="2" s="1"/>
  <c r="O123" i="2" s="1"/>
  <c r="P124" i="2" s="1"/>
  <c r="G87" i="5"/>
  <c r="E8" i="2"/>
  <c r="M88" i="2"/>
  <c r="L88" i="2"/>
  <c r="K88" i="2"/>
  <c r="J88" i="2"/>
  <c r="I88" i="2"/>
  <c r="H88" i="2"/>
  <c r="G88" i="2"/>
  <c r="F88" i="2"/>
  <c r="M74" i="2"/>
  <c r="M75" i="2" s="1"/>
  <c r="L74" i="2"/>
  <c r="L75" i="2" s="1"/>
  <c r="K74" i="2"/>
  <c r="J74" i="2"/>
  <c r="I74" i="2"/>
  <c r="H73" i="2"/>
  <c r="H74" i="2" s="1"/>
  <c r="G73" i="2"/>
  <c r="G74" i="2" s="1"/>
  <c r="F73" i="2"/>
  <c r="F74" i="2" s="1"/>
  <c r="H27" i="2"/>
  <c r="I26" i="2"/>
  <c r="I27" i="2" s="1"/>
  <c r="J27" i="2"/>
  <c r="K27" i="2"/>
  <c r="L27" i="2"/>
  <c r="M27" i="2"/>
  <c r="M28" i="2" s="1"/>
  <c r="N27" i="2"/>
  <c r="N28" i="2" s="1"/>
  <c r="G28" i="2"/>
  <c r="H73" i="5"/>
  <c r="G25" i="2" s="1"/>
  <c r="I73" i="5"/>
  <c r="H25" i="2" s="1"/>
  <c r="J73" i="5"/>
  <c r="I25" i="2" s="1"/>
  <c r="K73" i="5"/>
  <c r="J25" i="2" s="1"/>
  <c r="L73" i="5"/>
  <c r="M73" i="5"/>
  <c r="L25" i="2" s="1"/>
  <c r="N73" i="5"/>
  <c r="M25" i="2" s="1"/>
  <c r="O73" i="5"/>
  <c r="N25" i="2" s="1"/>
  <c r="P73" i="5"/>
  <c r="G73" i="5"/>
  <c r="C144" i="2" l="1"/>
  <c r="C145" i="2" s="1"/>
  <c r="L72" i="5"/>
  <c r="K25" i="2"/>
  <c r="F25" i="2"/>
  <c r="F29" i="2" s="1"/>
  <c r="F30" i="2" s="1"/>
  <c r="E72" i="2"/>
  <c r="E76" i="2" s="1"/>
  <c r="F72" i="2"/>
  <c r="G72" i="2"/>
  <c r="H72" i="2"/>
  <c r="I72" i="2"/>
  <c r="J72" i="2"/>
  <c r="K72" i="2"/>
  <c r="L72" i="2"/>
  <c r="L76" i="2" s="1"/>
  <c r="M72" i="2"/>
  <c r="M76" i="2" s="1"/>
  <c r="J72" i="5"/>
  <c r="F6" i="2"/>
  <c r="E6" i="2"/>
  <c r="H72" i="5"/>
  <c r="I72" i="5"/>
  <c r="K72" i="5"/>
  <c r="G72" i="5"/>
  <c r="I75" i="2"/>
  <c r="J28" i="2"/>
  <c r="J75" i="2"/>
  <c r="L28" i="2"/>
  <c r="K75" i="2"/>
  <c r="F75" i="2"/>
  <c r="H75" i="2"/>
  <c r="G75" i="2"/>
  <c r="I28" i="2"/>
  <c r="H28" i="2"/>
  <c r="K28" i="2"/>
  <c r="N29" i="2"/>
  <c r="N30" i="2" s="1"/>
  <c r="M29" i="2"/>
  <c r="M30" i="2" s="1"/>
  <c r="F8" i="2"/>
  <c r="G70" i="5"/>
  <c r="G71" i="5" s="1"/>
  <c r="F70" i="5"/>
  <c r="F71" i="5" s="1"/>
  <c r="E70" i="5"/>
  <c r="E71" i="5" s="1"/>
  <c r="E77" i="2" l="1"/>
  <c r="E78" i="2" s="1"/>
  <c r="E79" i="2" s="1"/>
  <c r="M77" i="2"/>
  <c r="M78" i="2" s="1"/>
  <c r="L77" i="2"/>
  <c r="L78" i="2" s="1"/>
  <c r="F76" i="2"/>
  <c r="G76" i="2"/>
  <c r="J29" i="2"/>
  <c r="H29" i="2"/>
  <c r="C48" i="6"/>
  <c r="C69" i="6"/>
  <c r="I29" i="2"/>
  <c r="K29" i="2"/>
  <c r="L29" i="2"/>
  <c r="K76" i="2"/>
  <c r="H76" i="2"/>
  <c r="J76" i="2"/>
  <c r="H71" i="5"/>
  <c r="I76" i="2"/>
  <c r="N31" i="2"/>
  <c r="M31" i="2"/>
  <c r="L79" i="2" l="1"/>
  <c r="M79" i="2"/>
  <c r="J30" i="2"/>
  <c r="J31" i="2" s="1"/>
  <c r="H77" i="2"/>
  <c r="H78" i="2" s="1"/>
  <c r="G77" i="2"/>
  <c r="G78" i="2" s="1"/>
  <c r="K30" i="2"/>
  <c r="K31" i="2" s="1"/>
  <c r="H30" i="2"/>
  <c r="H31" i="2" s="1"/>
  <c r="F77" i="2"/>
  <c r="F78" i="2" s="1"/>
  <c r="I30" i="2"/>
  <c r="I31" i="2" s="1"/>
  <c r="J77" i="2"/>
  <c r="J78" i="2" s="1"/>
  <c r="K77" i="2"/>
  <c r="K78" i="2" s="1"/>
  <c r="L30" i="2"/>
  <c r="L31" i="2" s="1"/>
  <c r="I77" i="2"/>
  <c r="I78" i="2" s="1"/>
  <c r="I71" i="5"/>
  <c r="I70" i="5" s="1"/>
  <c r="J71" i="5"/>
  <c r="J70" i="5" s="1"/>
  <c r="Q71" i="5"/>
  <c r="R71" i="5"/>
  <c r="S71" i="5"/>
  <c r="T71" i="5"/>
  <c r="L71" i="5"/>
  <c r="L70" i="5" s="1"/>
  <c r="M71" i="5"/>
  <c r="N71" i="5"/>
  <c r="H70" i="5"/>
  <c r="P71" i="5"/>
  <c r="K71" i="5"/>
  <c r="K70" i="5" s="1"/>
  <c r="O71" i="5"/>
  <c r="F31" i="2"/>
  <c r="F32" i="2" s="1"/>
  <c r="D67" i="5"/>
  <c r="L69" i="5"/>
  <c r="E67" i="5"/>
  <c r="F79" i="2" l="1"/>
  <c r="H79" i="2"/>
  <c r="I79" i="2"/>
  <c r="J79" i="2"/>
  <c r="G79" i="2"/>
  <c r="K79" i="2"/>
  <c r="L68" i="5"/>
  <c r="F68" i="5"/>
  <c r="H69" i="5"/>
  <c r="N69" i="5"/>
  <c r="I69" i="5"/>
  <c r="P69" i="5"/>
  <c r="O69" i="5"/>
  <c r="M69" i="5"/>
  <c r="K69" i="5"/>
  <c r="J69" i="5"/>
  <c r="K17" i="2" l="1"/>
  <c r="K19" i="2" s="1"/>
  <c r="K20" i="2" s="1"/>
  <c r="J64" i="2"/>
  <c r="J66" i="2" s="1"/>
  <c r="J67" i="2" s="1"/>
  <c r="E64" i="2"/>
  <c r="E66" i="2" s="1"/>
  <c r="E67" i="2" s="1"/>
  <c r="L64" i="2"/>
  <c r="L66" i="2" s="1"/>
  <c r="L67" i="2" s="1"/>
  <c r="J68" i="5"/>
  <c r="H68" i="5"/>
  <c r="K68" i="5"/>
  <c r="I68" i="5"/>
  <c r="H17" i="2" l="1"/>
  <c r="H19" i="2" s="1"/>
  <c r="H20" i="2" s="1"/>
  <c r="L17" i="2"/>
  <c r="L19" i="2" s="1"/>
  <c r="L20" i="2" s="1"/>
  <c r="I17" i="2"/>
  <c r="I19" i="2" s="1"/>
  <c r="I20" i="2" s="1"/>
  <c r="N17" i="2"/>
  <c r="N19" i="2" s="1"/>
  <c r="N20" i="2" s="1"/>
  <c r="J17" i="2"/>
  <c r="J19" i="2" s="1"/>
  <c r="J20" i="2" s="1"/>
  <c r="G17" i="2"/>
  <c r="G19" i="2" s="1"/>
  <c r="G20" i="2" s="1"/>
  <c r="M17" i="2"/>
  <c r="M19" i="2" s="1"/>
  <c r="M20" i="2" s="1"/>
  <c r="I64" i="2"/>
  <c r="I66" i="2" s="1"/>
  <c r="I67" i="2" s="1"/>
  <c r="G64" i="2"/>
  <c r="G66" i="2" s="1"/>
  <c r="G67" i="2" s="1"/>
  <c r="M64" i="2"/>
  <c r="M66" i="2" s="1"/>
  <c r="M67" i="2" s="1"/>
  <c r="H64" i="2"/>
  <c r="H66" i="2" s="1"/>
  <c r="H67" i="2" s="1"/>
  <c r="K64" i="2"/>
  <c r="K66" i="2" s="1"/>
  <c r="K67" i="2" s="1"/>
  <c r="F64" i="2"/>
  <c r="F66" i="2" s="1"/>
  <c r="F67" i="2" s="1"/>
  <c r="F17" i="2"/>
  <c r="F19" i="2" s="1"/>
  <c r="F20" i="2" l="1"/>
  <c r="F21" i="2" s="1"/>
  <c r="F68" i="2"/>
  <c r="E68" i="2"/>
  <c r="E69" i="2" s="1"/>
  <c r="K21" i="2"/>
  <c r="L68" i="2"/>
  <c r="G21" i="2"/>
  <c r="K68" i="2"/>
  <c r="J68" i="2"/>
  <c r="N21" i="2"/>
  <c r="M68" i="2"/>
  <c r="G68" i="2"/>
  <c r="J21" i="2"/>
  <c r="M21" i="2"/>
  <c r="H21" i="2"/>
  <c r="L21" i="2"/>
  <c r="I21" i="2"/>
  <c r="I68" i="2"/>
  <c r="H68" i="2"/>
  <c r="G8" i="2"/>
  <c r="M94" i="5"/>
  <c r="C67" i="5"/>
  <c r="F67" i="5"/>
  <c r="G67" i="5"/>
  <c r="H67" i="5" l="1"/>
  <c r="F9" i="2" s="1"/>
  <c r="M70" i="5"/>
  <c r="M72" i="5"/>
  <c r="E9" i="2"/>
  <c r="E11" i="2" s="1"/>
  <c r="E12" i="2" s="1"/>
  <c r="F69" i="2"/>
  <c r="L69" i="2"/>
  <c r="J69" i="2"/>
  <c r="K69" i="2"/>
  <c r="G69" i="2"/>
  <c r="H69" i="2"/>
  <c r="M69" i="2"/>
  <c r="I69" i="2"/>
  <c r="F22" i="2"/>
  <c r="H8" i="2"/>
  <c r="N94" i="5"/>
  <c r="M68" i="5"/>
  <c r="I67" i="5" l="1"/>
  <c r="H66" i="5"/>
  <c r="F10" i="2"/>
  <c r="L55" i="2"/>
  <c r="E55" i="2"/>
  <c r="D55" i="2"/>
  <c r="N70" i="5"/>
  <c r="N72" i="5"/>
  <c r="E13" i="2"/>
  <c r="E42" i="2"/>
  <c r="M55" i="2"/>
  <c r="F55" i="2"/>
  <c r="G55" i="2"/>
  <c r="H55" i="2"/>
  <c r="I55" i="2"/>
  <c r="J55" i="2"/>
  <c r="K55" i="2"/>
  <c r="I8" i="2"/>
  <c r="O94" i="5"/>
  <c r="N68" i="5"/>
  <c r="J67" i="5" l="1"/>
  <c r="I66" i="5"/>
  <c r="E52" i="2"/>
  <c r="F52" i="2" s="1"/>
  <c r="G52" i="2" s="1"/>
  <c r="H52" i="2" s="1"/>
  <c r="I52" i="2" s="1"/>
  <c r="J52" i="2" s="1"/>
  <c r="K52" i="2" s="1"/>
  <c r="L52" i="2" s="1"/>
  <c r="M52" i="2" s="1"/>
  <c r="D52" i="2"/>
  <c r="D56" i="2" s="1"/>
  <c r="O70" i="5"/>
  <c r="O72" i="5"/>
  <c r="E14" i="2"/>
  <c r="J8" i="2"/>
  <c r="P94" i="5"/>
  <c r="Q94" i="5" s="1"/>
  <c r="O68" i="5"/>
  <c r="J66" i="5" l="1"/>
  <c r="K67" i="5"/>
  <c r="E57" i="2"/>
  <c r="E56" i="2"/>
  <c r="D53" i="2"/>
  <c r="Q70" i="5"/>
  <c r="Q72" i="5"/>
  <c r="Q68" i="5"/>
  <c r="R94" i="5"/>
  <c r="P70" i="5"/>
  <c r="P72" i="5"/>
  <c r="K8" i="2"/>
  <c r="P68" i="5"/>
  <c r="L67" i="5" l="1"/>
  <c r="K66" i="5"/>
  <c r="D58" i="2"/>
  <c r="F56" i="2"/>
  <c r="R70" i="5"/>
  <c r="R72" i="5"/>
  <c r="R68" i="5"/>
  <c r="S94" i="5"/>
  <c r="L8" i="2"/>
  <c r="D59" i="2" l="1"/>
  <c r="D60" i="2" s="1"/>
  <c r="D89" i="2"/>
  <c r="M67" i="5"/>
  <c r="L66" i="5"/>
  <c r="S70" i="5"/>
  <c r="S72" i="5"/>
  <c r="S68" i="5"/>
  <c r="T94" i="5"/>
  <c r="H6" i="2"/>
  <c r="E53" i="2"/>
  <c r="E58" i="2" s="1"/>
  <c r="G56" i="2"/>
  <c r="M8" i="2"/>
  <c r="N67" i="5" l="1"/>
  <c r="M66" i="5"/>
  <c r="E59" i="2"/>
  <c r="E89" i="2"/>
  <c r="D61" i="2"/>
  <c r="D91" i="2" s="1"/>
  <c r="D130" i="2" s="1"/>
  <c r="D90" i="2"/>
  <c r="T70" i="5"/>
  <c r="T72" i="5"/>
  <c r="T68" i="5"/>
  <c r="F11" i="2"/>
  <c r="G9" i="2"/>
  <c r="G10" i="2"/>
  <c r="G6" i="2"/>
  <c r="G57" i="2"/>
  <c r="F53" i="2"/>
  <c r="F57" i="2"/>
  <c r="G53" i="2"/>
  <c r="H9" i="2"/>
  <c r="H10" i="2"/>
  <c r="I6" i="2"/>
  <c r="O67" i="5" l="1"/>
  <c r="N66" i="5"/>
  <c r="F42" i="2"/>
  <c r="F12" i="2"/>
  <c r="F13" i="2" s="1"/>
  <c r="F43" i="2" s="1"/>
  <c r="N8" i="2"/>
  <c r="G11" i="2"/>
  <c r="E60" i="2"/>
  <c r="E90" i="2" s="1"/>
  <c r="F58" i="2"/>
  <c r="H56" i="2"/>
  <c r="H57" i="2"/>
  <c r="G58" i="2"/>
  <c r="H53" i="2"/>
  <c r="I9" i="2"/>
  <c r="I10" i="2"/>
  <c r="H11" i="2"/>
  <c r="J6" i="2"/>
  <c r="O66" i="5" l="1"/>
  <c r="P67" i="5"/>
  <c r="F59" i="2"/>
  <c r="F60" i="2" s="1"/>
  <c r="F90" i="2" s="1"/>
  <c r="F89" i="2"/>
  <c r="G59" i="2"/>
  <c r="G60" i="2" s="1"/>
  <c r="G90" i="2" s="1"/>
  <c r="G89" i="2"/>
  <c r="H42" i="2"/>
  <c r="H12" i="2"/>
  <c r="H13" i="2" s="1"/>
  <c r="H43" i="2" s="1"/>
  <c r="G12" i="2"/>
  <c r="G13" i="2" s="1"/>
  <c r="G14" i="2" s="1"/>
  <c r="F14" i="2"/>
  <c r="E61" i="2"/>
  <c r="H58" i="2"/>
  <c r="H89" i="2" s="1"/>
  <c r="I56" i="2"/>
  <c r="I57" i="2"/>
  <c r="I53" i="2"/>
  <c r="J9" i="2"/>
  <c r="J10" i="2"/>
  <c r="I11" i="2"/>
  <c r="K6" i="2"/>
  <c r="P66" i="5" l="1"/>
  <c r="Q67" i="5"/>
  <c r="E91" i="2"/>
  <c r="E130" i="2" s="1"/>
  <c r="H59" i="2"/>
  <c r="H60" i="2" s="1"/>
  <c r="H90" i="2" s="1"/>
  <c r="I42" i="2"/>
  <c r="I12" i="2"/>
  <c r="I13" i="2" s="1"/>
  <c r="I43" i="2" s="1"/>
  <c r="F44" i="2"/>
  <c r="G61" i="2"/>
  <c r="G91" i="2" s="1"/>
  <c r="F61" i="2"/>
  <c r="J56" i="2"/>
  <c r="J57" i="2"/>
  <c r="I58" i="2"/>
  <c r="I89" i="2" s="1"/>
  <c r="J53" i="2"/>
  <c r="H14" i="2"/>
  <c r="K9" i="2"/>
  <c r="K10" i="2"/>
  <c r="J11" i="2"/>
  <c r="L6" i="2"/>
  <c r="R67" i="5" l="1"/>
  <c r="Q66" i="5"/>
  <c r="F91" i="2"/>
  <c r="F130" i="2" s="1"/>
  <c r="I59" i="2"/>
  <c r="I60" i="2" s="1"/>
  <c r="I90" i="2" s="1"/>
  <c r="J42" i="2"/>
  <c r="J12" i="2"/>
  <c r="J13" i="2" s="1"/>
  <c r="J43" i="2" s="1"/>
  <c r="H61" i="2"/>
  <c r="K56" i="2"/>
  <c r="K57" i="2"/>
  <c r="J58" i="2"/>
  <c r="J89" i="2" s="1"/>
  <c r="K53" i="2"/>
  <c r="I14" i="2"/>
  <c r="L9" i="2"/>
  <c r="L10" i="2"/>
  <c r="K11" i="2"/>
  <c r="M6" i="2"/>
  <c r="S67" i="5" l="1"/>
  <c r="R66" i="5"/>
  <c r="G130" i="2"/>
  <c r="H91" i="2"/>
  <c r="H130" i="2" s="1"/>
  <c r="J59" i="2"/>
  <c r="J60" i="2" s="1"/>
  <c r="J90" i="2" s="1"/>
  <c r="K42" i="2"/>
  <c r="K12" i="2"/>
  <c r="K13" i="2" s="1"/>
  <c r="K43" i="2" s="1"/>
  <c r="I61" i="2"/>
  <c r="L56" i="2"/>
  <c r="L57" i="2"/>
  <c r="K58" i="2"/>
  <c r="K89" i="2" s="1"/>
  <c r="L53" i="2"/>
  <c r="J14" i="2"/>
  <c r="M9" i="2"/>
  <c r="M10" i="2"/>
  <c r="L11" i="2"/>
  <c r="T67" i="5" l="1"/>
  <c r="T66" i="5" s="1"/>
  <c r="S66" i="5"/>
  <c r="I91" i="2"/>
  <c r="I130" i="2" s="1"/>
  <c r="K59" i="2"/>
  <c r="K60" i="2" s="1"/>
  <c r="K90" i="2" s="1"/>
  <c r="L42" i="2"/>
  <c r="L12" i="2"/>
  <c r="L13" i="2" s="1"/>
  <c r="L43" i="2" s="1"/>
  <c r="J61" i="2"/>
  <c r="M56" i="2"/>
  <c r="M57" i="2"/>
  <c r="L58" i="2"/>
  <c r="L89" i="2" s="1"/>
  <c r="M53" i="2"/>
  <c r="K14" i="2"/>
  <c r="N10" i="2"/>
  <c r="N6" i="2"/>
  <c r="M11" i="2"/>
  <c r="N9" i="2"/>
  <c r="J91" i="2" l="1"/>
  <c r="J130" i="2" s="1"/>
  <c r="L59" i="2"/>
  <c r="L60" i="2" s="1"/>
  <c r="L90" i="2" s="1"/>
  <c r="M42" i="2"/>
  <c r="M12" i="2"/>
  <c r="M13" i="2" s="1"/>
  <c r="M43" i="2" s="1"/>
  <c r="K61" i="2"/>
  <c r="M58" i="2"/>
  <c r="M89" i="2" s="1"/>
  <c r="L14" i="2"/>
  <c r="N11" i="2"/>
  <c r="K91" i="2" l="1"/>
  <c r="K130" i="2" s="1"/>
  <c r="M59" i="2"/>
  <c r="M60" i="2" s="1"/>
  <c r="M90" i="2" s="1"/>
  <c r="N42" i="2"/>
  <c r="N12" i="2"/>
  <c r="N13" i="2" s="1"/>
  <c r="N43" i="2" s="1"/>
  <c r="L61" i="2"/>
  <c r="M14" i="2"/>
  <c r="E43" i="2"/>
  <c r="L91" i="2" l="1"/>
  <c r="L130" i="2" s="1"/>
  <c r="E41" i="2"/>
  <c r="M61" i="2"/>
  <c r="M91" i="2" s="1"/>
  <c r="N14" i="2"/>
  <c r="O130" i="2" l="1"/>
  <c r="P130" i="2"/>
  <c r="M130" i="2"/>
  <c r="N130" i="2"/>
  <c r="E44" i="2"/>
  <c r="F129" i="2" s="1"/>
  <c r="C151" i="2" l="1"/>
  <c r="G55" i="6"/>
  <c r="G53" i="6" s="1"/>
  <c r="E129" i="2"/>
  <c r="D131" i="2"/>
  <c r="D93" i="2"/>
  <c r="G29" i="2"/>
  <c r="G30" i="2" s="1"/>
  <c r="G54" i="6" l="1"/>
  <c r="G52" i="6"/>
  <c r="G51" i="6"/>
  <c r="G42" i="2"/>
  <c r="C155" i="2" s="1"/>
  <c r="G31" i="2"/>
  <c r="G43" i="2" s="1"/>
  <c r="G22" i="2" l="1"/>
  <c r="H22" i="2" l="1"/>
  <c r="I22" i="2" l="1"/>
  <c r="J22" i="2" l="1"/>
  <c r="K22" i="2" l="1"/>
  <c r="I32" i="2"/>
  <c r="I44" i="2" s="1"/>
  <c r="K32" i="2"/>
  <c r="N32" i="2"/>
  <c r="J32" i="2"/>
  <c r="J44" i="2" s="1"/>
  <c r="L32" i="2"/>
  <c r="M32" i="2"/>
  <c r="K44" i="2" l="1"/>
  <c r="K129" i="2" s="1"/>
  <c r="L22" i="2"/>
  <c r="L44" i="2" s="1"/>
  <c r="G32" i="2"/>
  <c r="H32" i="2"/>
  <c r="L129" i="2" l="1"/>
  <c r="G44" i="2"/>
  <c r="G129" i="2" s="1"/>
  <c r="H44" i="2"/>
  <c r="M22" i="2"/>
  <c r="M44" i="2" s="1"/>
  <c r="M129" i="2" l="1"/>
  <c r="H129" i="2"/>
  <c r="I129" i="2"/>
  <c r="J129" i="2"/>
  <c r="N22" i="2"/>
  <c r="N44" i="2" s="1"/>
  <c r="P129" i="2" s="1"/>
  <c r="O129" i="2" l="1"/>
  <c r="O131" i="2" s="1"/>
  <c r="N129" i="2"/>
  <c r="N131" i="2" s="1"/>
  <c r="F55" i="6"/>
  <c r="F53" i="6" s="1"/>
  <c r="P131" i="2"/>
  <c r="G131" i="2"/>
  <c r="F131" i="2"/>
  <c r="M131" i="2"/>
  <c r="D46" i="2"/>
  <c r="L131" i="2"/>
  <c r="H131" i="2"/>
  <c r="J131" i="2"/>
  <c r="K131" i="2"/>
  <c r="I131" i="2"/>
  <c r="C150" i="2" l="1"/>
  <c r="F51" i="6"/>
  <c r="F52" i="6"/>
  <c r="F54" i="6"/>
  <c r="E131" i="2"/>
  <c r="C149" i="2" l="1"/>
  <c r="C152" i="2" s="1"/>
  <c r="C159" i="2" l="1"/>
  <c r="C21" i="6" s="1"/>
  <c r="C154" i="2"/>
  <c r="C50" i="6" s="1"/>
  <c r="C153" i="2"/>
  <c r="C71" i="6" s="1"/>
  <c r="C70" i="6"/>
  <c r="C18" i="9" l="1"/>
  <c r="E58" i="9" s="1"/>
  <c r="C49" i="6"/>
  <c r="E69" i="9" l="1"/>
  <c r="E78" i="9"/>
  <c r="E37" i="9"/>
  <c r="E4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tc={DB5C7DFA-C967-4D48-A678-F0995BA9EB1C}</author>
    <author>tc={DECE59E1-EB5A-430B-A185-148773E714E5}</author>
    <author>tc={53175405-CCA0-4C26-A7EC-65AC43117AA9}</author>
    <author>tc={E7233C15-2837-4F9B-A222-D281C6DE7DE2}</author>
  </authors>
  <commentList>
    <comment ref="B13" authorId="0" shapeId="0" xr:uid="{DB5C7DFA-C967-4D48-A678-F0995BA9EB1C}">
      <text>
        <t>[Threaded comment]
Your version of Excel allows you to read this threaded comment; however, any edits to it will get removed if the file is opened in a newer version of Excel. Learn more: https://go.microsoft.com/fwlink/?linkid=870924
Comment:
    This refers to the actual cost base (net of evaluation costs, plus co-funding)</t>
      </text>
    </comment>
    <comment ref="B14" authorId="1" shapeId="0" xr:uid="{DECE59E1-EB5A-430B-A185-148773E714E5}">
      <text>
        <t>[Threaded comment]
Your version of Excel allows you to read this threaded comment; however, any edits to it will get removed if the file is opened in a newer version of Excel. Learn more: https://go.microsoft.com/fwlink/?linkid=870924
Comment:
    This is the cumulative distinct household reach. It is higher than the 34,000*0.97 (to arrive from number of farmers to number of households) because OAF plans to enroll new farmers for the ones that do not re-enroll after 1 year of training. OAF assumes a 75% retention rate. That means OAF enrolls 25% of additional new farmers each year to replace drop-outs.</t>
      </text>
    </comment>
    <comment ref="B27" authorId="2" shapeId="0" xr:uid="{53175405-CCA0-4C26-A7EC-65AC43117AA9}">
      <text>
        <t>[Threaded comment]
Your version of Excel allows you to read this threaded comment; however, any edits to it will get removed if the file is opened in a newer version of Excel. Learn more: https://go.microsoft.com/fwlink/?linkid=870924
Comment:
    Only 10% coffee tree productivity increase</t>
      </text>
    </comment>
    <comment ref="B28" authorId="3" shapeId="0" xr:uid="{E7233C15-2837-4F9B-A222-D281C6DE7DE2}">
      <text>
        <t>[Threaded comment]
Your version of Excel allows you to read this threaded comment; however, any edits to it will get removed if the file is opened in a newer version of Excel. Learn more: https://go.microsoft.com/fwlink/?linkid=870924
Comment:
    80% survival rate of timber and macadamia trees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tc={81652B9D-14B3-4018-B59C-F72CB41E7CF1}</author>
    <author>tc={26BE43D1-8682-4234-A2EA-2C15870CBEB8}</author>
    <author>tc={E2F3577A-46D4-4EA2-812B-3CADD82FC49E}</author>
    <author>tc={894E6686-7BDE-4D98-860D-EC985C8F9499}</author>
    <author>tc={D480EA2A-BE2D-41A0-9E38-E732A848753E}</author>
    <author>tc={24C9CC42-022D-412F-970F-D08474423D78}</author>
    <author>tc={6678F55A-1619-4B46-B4E1-7A0C91C203CC}</author>
    <author>tc={F1DF29D0-4C02-4B3C-B603-42488B0DE80D}</author>
    <author>tc={C0C35338-E600-42B2-8574-255F0DAFD432}</author>
  </authors>
  <commentList>
    <comment ref="C19" authorId="0" shapeId="0" xr:uid="{81652B9D-14B3-4018-B59C-F72CB41E7CF1}">
      <text>
        <t>[Threaded comment]
Your version of Excel allows you to read this threaded comment; however, any edits to it will get removed if the file is opened in a newer version of Excel. Learn more: https://go.microsoft.com/fwlink/?linkid=870924
Comment:
    OAF reports average of 454 productive coffee trees in OAF Uganda Coffee Impact Report 2025 Central Western</t>
      </text>
    </comment>
    <comment ref="B23" authorId="1" shapeId="0" xr:uid="{26BE43D1-8682-4234-A2EA-2C15870CBEB8}">
      <text>
        <t>[Threaded comment]
Your version of Excel allows you to read this threaded comment; however, any edits to it will get removed if the file is opened in a newer version of Excel. Learn more: https://go.microsoft.com/fwlink/?linkid=870924
Comment:
    We assume that real costs per farmer stay constant.</t>
      </text>
    </comment>
    <comment ref="C23" authorId="2" shapeId="0" xr:uid="{E2F3577A-46D4-4EA2-812B-3CADD82FC49E}">
      <text>
        <t>[Threaded comment]
Your version of Excel allows you to read this threaded comment; however, any edits to it will get removed if the file is opened in a newer version of Excel. Learn more: https://go.microsoft.com/fwlink/?linkid=870924
Comment:
    46 nominal 2025 UGX</t>
      </text>
    </comment>
    <comment ref="C24" authorId="3" shapeId="0" xr:uid="{894E6686-7BDE-4D98-860D-EC985C8F9499}">
      <text>
        <t>[Threaded comment]
Your version of Excel allows you to read this threaded comment; however, any edits to it will get removed if the file is opened in a newer version of Excel. Learn more: https://go.microsoft.com/fwlink/?linkid=870924
Comment:
    97,400 nominal 2025 UGX</t>
      </text>
    </comment>
    <comment ref="B27" authorId="4" shapeId="0" xr:uid="{D480EA2A-BE2D-41A0-9E38-E732A848753E}">
      <text>
        <t>[Threaded comment]
Your version of Excel allows you to read this threaded comment; however, any edits to it will get removed if the file is opened in a newer version of Excel. Learn more: https://go.microsoft.com/fwlink/?linkid=870924
Comment:
    Update from 2025 MEL framework</t>
      </text>
    </comment>
    <comment ref="B30" authorId="5" shapeId="0" xr:uid="{24C9CC42-022D-412F-970F-D08474423D78}">
      <text>
        <t>[Threaded comment]
Your version of Excel allows you to read this threaded comment; however, any edits to it will get removed if the file is opened in a newer version of Excel. Learn more: https://go.microsoft.com/fwlink/?linkid=870924
Comment:
    We take the value from RTV baseline report because we do not have consumption data in OAF survey. This is from Kitagwenda and Rakai distrikt and may not apply for Kassanda/Mubende
Reply:
    In OAF baseline survey median total hh revenues amount to 5,625,000 UGX. However, this relies on a very crude survey question.</t>
      </text>
    </comment>
    <comment ref="B38" authorId="6" shapeId="0" xr:uid="{6678F55A-1619-4B46-B4E1-7A0C91C203CC}">
      <text>
        <t>[Threaded comment]
Your version of Excel allows you to read this threaded comment; however, any edits to it will get removed if the file is opened in a newer version of Excel. Learn more: https://go.microsoft.com/fwlink/?linkid=870924
Comment:
    Assuming farmer plants 1 kg per season on 0.28 ha</t>
      </text>
    </comment>
    <comment ref="C83" authorId="7" shapeId="0" xr:uid="{F1DF29D0-4C02-4B3C-B603-42488B0DE80D}">
      <text>
        <t>[Threaded comment]
Your version of Excel allows you to read this threaded comment; however, any edits to it will get removed if the file is opened in a newer version of Excel. Learn more: https://go.microsoft.com/fwlink/?linkid=870924
Comment:
    OAF assumes number of households=number of farmers*0.97</t>
      </text>
    </comment>
    <comment ref="B89" authorId="8" shapeId="0" xr:uid="{C0C35338-E600-42B2-8574-255F0DAFD432}">
      <text>
        <t xml:space="preserve">[Threaded comment]
Your version of Excel allows you to read this threaded comment; however, any edits to it will get removed if the file is opened in a newer version of Excel. Learn more: https://go.microsoft.com/fwlink/?linkid=870924
Comment:
    Benefit persistence for non-re-enrolling households: 0%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tc={2AEC212E-EB46-4F43-A987-23B77CBDB0CE}</author>
    <author>tc={9732200F-EC82-45A3-BE72-2BBA2A6D3DE1}</author>
    <author>tc={D7DF8DFE-80B6-4A42-A47E-0E3D631B72BC}</author>
    <author>tc={52DA56EF-9D11-4F08-929F-8D07BED84017}</author>
    <author>tc={B499B8A5-4EA8-4AF0-87B7-7EDC93A71CC5}</author>
    <author>tc={5EAF7944-7D09-4F5A-B468-5DE44FE113B2}</author>
    <author>tc={C285C6CF-87E3-47CF-AA24-04B733BC7C3A}</author>
    <author>tc={390B602A-3544-4DE4-8ED6-B299E801F719}</author>
    <author>tc={FF0E73DF-6705-41C2-8BCE-819C8D566A51}</author>
    <author>tc={4B2ACDBE-AE46-4309-9EDA-24442D2190FC}</author>
    <author>tc={469EF366-F24C-4506-AED2-5C77C1CEF630}</author>
    <author>tc={293CFE2C-ED93-46D8-BA1A-AF3C365CDC91}</author>
    <author>tc={E427B798-158D-4919-8E84-0729549D6CF6}</author>
    <author>tc={AE06D625-B9A1-47B6-8550-9C9CB6266097}</author>
    <author>tc={52D14CFD-4F2C-4E0E-ACA6-766D19F6CE91}</author>
    <author>tc={D9D7BBA3-A26D-48C2-89DE-158667918A87}</author>
    <author>tc={EBDDF246-17C5-4A55-873A-DD48CFB3ACB9}</author>
    <author>tc={CFEE743A-D343-4F6E-88C8-8BDD51623D83}</author>
    <author>tc={C349C28C-2E9C-4F67-ABDD-E37696959D44}</author>
    <author>tc={7DF3FD66-0092-48F3-82A2-AA448AA24345}</author>
    <author>tc={D8A9F5EA-42F8-4E99-BF9B-5254B5DF5D31}</author>
    <author>tc={F8579D53-C517-4426-A0E9-AE61F70250E1}</author>
    <author>tc={198A7A84-688B-4018-85F5-C27CDEF84F91}</author>
    <author>tc={5A065A09-913A-483F-8D2A-6F266D520FC4}</author>
    <author>tc={814A9293-D573-490C-A736-1929FB3A0019}</author>
    <author>tc={63FEB16C-3CD1-403D-875B-515A8F5BA7EC}</author>
    <author>tc={AD5D65A8-F2BC-424F-830B-26890A1DAF0F}</author>
    <author>tc={2F2BCBA1-D6D5-4D0F-AB4A-6CF529F111EA}</author>
    <author>tc={8372606C-87A4-4010-823D-B908E3E154BD}</author>
    <author>tc={0EF90D2A-8EC2-4E38-82E5-92B14278831F}</author>
    <author>tc={D74C65EF-CA6B-463B-884A-1F77C5D6E95E}</author>
    <author>tc={F5C04338-F946-4FE0-B8FA-5E79A1F2EAE4}</author>
    <author>tc={0A54EEBD-6CC4-4253-AEC2-59349A01CA4A}</author>
  </authors>
  <commentList>
    <comment ref="B1" authorId="0" shapeId="0" xr:uid="{2AEC212E-EB46-4F43-A987-23B77CBDB0CE}">
      <text>
        <t>[Threaded comment]
Your version of Excel allows you to read this threaded comment; however, any edits to it will get removed if the file is opened in a newer version of Excel. Learn more: https://go.microsoft.com/fwlink/?linkid=870924
Comment:
    Includes all households (adopters and non-adopters)</t>
      </text>
    </comment>
    <comment ref="C5" authorId="1" shapeId="0" xr:uid="{9732200F-EC82-45A3-BE72-2BBA2A6D3DE1}">
      <text>
        <t xml:space="preserve">[Threaded comment]
Your version of Excel allows you to read this threaded comment; however, any edits to it will get removed if the file is opened in a newer version of Excel. Learn more: https://go.microsoft.com/fwlink/?linkid=870924
Comment:
    We assume a linear decay in the yield benefit of 7.3% p.a. setting in Yr 3 of coffee training start. </t>
      </text>
    </comment>
    <comment ref="C7" authorId="2" shapeId="0" xr:uid="{D7DF8DFE-80B6-4A42-A47E-0E3D631B72BC}">
      <text>
        <t>[Threaded comment]
Your version of Excel allows you to read this threaded comment; however, any edits to it will get removed if the file is opened in a newer version of Excel. Learn more: https://go.microsoft.com/fwlink/?linkid=870924
Comment:
    Source: M&amp;E framework
We assume linear decay in fertilizer adoption of 7,3% annually after coffee agromy training program ends</t>
      </text>
    </comment>
    <comment ref="C8" authorId="3" shapeId="0" xr:uid="{52DA56EF-9D11-4F08-929F-8D07BED84017}">
      <text>
        <t>[Threaded comment]
Your version of Excel allows you to read this threaded comment; however, any edits to it will get removed if the file is opened in a newer version of Excel. Learn more: https://go.microsoft.com/fwlink/?linkid=870924
Comment:
    We proxy incremental expenditure for coffee production by additional harvest costs and costs for inorganic fertilizer. As GAP adoption increase, we can assume that other production costs increase as well. OAF estimates that an OAF farmer ocurrs 4x the production costs of a non-OAF farmer (see OAF impact modelling).</t>
      </text>
    </comment>
    <comment ref="C11" authorId="4" shapeId="0" xr:uid="{B499B8A5-4EA8-4AF0-87B7-7EDC93A71CC5}">
      <text>
        <t>[Threaded comment]
Your version of Excel allows you to read this threaded comment; however, any edits to it will get removed if the file is opened in a newer version of Excel. Learn more: https://go.microsoft.com/fwlink/?linkid=870924
Comment:
    Additional production costs of around 18,000 UGX (= 0.01 USD) per tree align closely with OAF production cost estimates.</t>
      </text>
    </comment>
    <comment ref="B15" authorId="5" shapeId="0" xr:uid="{5EAF7944-7D09-4F5A-B468-5DE44FE113B2}">
      <text>
        <t>[Threaded comment]
Your version of Excel allows you to read this threaded comment; however, any edits to it will get removed if the file is opened in a newer version of Excel. Learn more: https://go.microsoft.com/fwlink/?linkid=870924
Comment:
    Starts in Yr2</t>
      </text>
    </comment>
    <comment ref="B23" authorId="6" shapeId="0" xr:uid="{C285C6CF-87E3-47CF-AA24-04B733BC7C3A}">
      <text>
        <t>[Threaded comment]
Your version of Excel allows you to read this threaded comment; however, any edits to it will get removed if the file is opened in a newer version of Excel. Learn more: https://go.microsoft.com/fwlink/?linkid=870924
Comment:
    The Uganda Macadamia Impact Model includes foregone maize value due to substitution but the monetary amount is negligible (because of the very low number of (surviving) trees). Therefore, we do not consider it here.</t>
      </text>
    </comment>
    <comment ref="C23" authorId="7" shapeId="0" xr:uid="{390B602A-3544-4DE4-8ED6-B299E801F719}">
      <text>
        <t>[Threaded comment]
Your version of Excel allows you to read this threaded comment; however, any edits to it will get removed if the file is opened in a newer version of Excel. Learn more: https://go.microsoft.com/fwlink/?linkid=870924
Comment:
    Yield assumptions from OAF Macadamia Impact Model</t>
      </text>
    </comment>
    <comment ref="C26" authorId="8" shapeId="0" xr:uid="{FF0E73DF-6705-41C2-8BCE-819C8D566A51}">
      <text>
        <t>[Threaded comment]
Your version of Excel allows you to read this threaded comment; however, any edits to it will get removed if the file is opened in a newer version of Excel. Learn more: https://go.microsoft.com/fwlink/?linkid=870924
Comment:
    Acc to OAF Uganda Macadamia Impact Model</t>
      </text>
    </comment>
    <comment ref="F28" authorId="9" shapeId="0" xr:uid="{4B2ACDBE-AE46-4309-9EDA-24442D2190FC}">
      <text>
        <t>[Threaded comment]
Your version of Excel allows you to read this threaded comment; however, any edits to it will get removed if the file is opened in a newer version of Excel. Learn more: https://go.microsoft.com/fwlink/?linkid=870924
Comment:
    Fertilizer + seedlings</t>
      </text>
    </comment>
    <comment ref="G28" authorId="10" shapeId="0" xr:uid="{469EF366-F24C-4506-AED2-5C77C1CEF630}">
      <text>
        <t>[Threaded comment]
Your version of Excel allows you to read this threaded comment; however, any edits to it will get removed if the file is opened in a newer version of Excel. Learn more: https://go.microsoft.com/fwlink/?linkid=870924
Comment:
    Pesticide+fertilizer</t>
      </text>
    </comment>
    <comment ref="M28" authorId="11" shapeId="0" xr:uid="{293CFE2C-ED93-46D8-BA1A-AF3C365CDC91}">
      <text>
        <t>[Threaded comment]
Your version of Excel allows you to read this threaded comment; however, any edits to it will get removed if the file is opened in a newer version of Excel. Learn more: https://go.microsoft.com/fwlink/?linkid=870924
Comment:
    Fertilizer only. Pesticides only used in year 2-7; later tree becomes too tall to spray</t>
      </text>
    </comment>
    <comment ref="C33" authorId="12" shapeId="0" xr:uid="{E427B798-158D-4919-8E84-0729549D6CF6}">
      <text>
        <t xml:space="preserve">[Threaded comment]
Your version of Excel allows you to read this threaded comment; however, any edits to it will get removed if the file is opened in a newer version of Excel. Learn more: https://go.microsoft.com/fwlink/?linkid=870924
Comment:
    40 tree seedlings are distributed in Year 2 and 3 each. </t>
      </text>
    </comment>
    <comment ref="C34" authorId="13" shapeId="0" xr:uid="{AE06D625-B9A1-47B6-8550-9C9CB6266097}">
      <text>
        <t>[Threaded comment]
Your version of Excel allows you to read this threaded comment; however, any edits to it will get removed if the file is opened in a newer version of Excel. Learn more: https://go.microsoft.com/fwlink/?linkid=870924
Comment:
    Acc to OAF Uganda Tree NPV Model</t>
      </text>
    </comment>
    <comment ref="C37" authorId="14" shapeId="0" xr:uid="{52D14CFD-4F2C-4E0E-ACA6-766D19F6CE91}">
      <text>
        <t>[Threaded comment]
Your version of Excel allows you to read this threaded comment; however, any edits to it will get removed if the file is opened in a newer version of Excel. Learn more: https://go.microsoft.com/fwlink/?linkid=870924
Comment:
    Acc to OAF Uganda Tree NPV Model maintenance costs are $0.40 Yr1-Yr7 and $0.17 afterwards. We use the same currency excange rate of 3400 UGX=1 USD</t>
      </text>
    </comment>
    <comment ref="C52" authorId="15" shapeId="0" xr:uid="{D9D7BBA3-A26D-48C2-89DE-158667918A87}">
      <text>
        <t xml:space="preserve">[Threaded comment]
Your version of Excel allows you to read this threaded comment; however, any edits to it will get removed if the file is opened in a newer version of Excel. Learn more: https://go.microsoft.com/fwlink/?linkid=870924
Comment:
    We assume a linear decay in the yield benefit of 7.3% p.a. setting in Yr 3 of coffee training start. </t>
      </text>
    </comment>
    <comment ref="C54" authorId="16" shapeId="0" xr:uid="{EBDDF246-17C5-4A55-873A-DD48CFB3ACB9}">
      <text>
        <t>[Threaded comment]
Your version of Excel allows you to read this threaded comment; however, any edits to it will get removed if the file is opened in a newer version of Excel. Learn more: https://go.microsoft.com/fwlink/?linkid=870924
Comment:
    Source: OAF GAP Implementation Check Report Q3 2025
We assume linear decay in fertilizer adoption of 7,3% annually after coffee agronomy training program ends</t>
      </text>
    </comment>
    <comment ref="C55" authorId="17" shapeId="0" xr:uid="{CFEE743A-D343-4F6E-88C8-8BDD51623D83}">
      <text>
        <t>[Threaded comment]
Your version of Excel allows you to read this threaded comment; however, any edits to it will get removed if the file is opened in a newer version of Excel. Learn more: https://go.microsoft.com/fwlink/?linkid=870924
Comment:
    We proxy incremental expenditure for coffee production by additional harvest costs and costs for inorganic fertilizer. As GAP adoption increase, we can assume that other production costs increase as well. OAF estimates that an OAF farmer ocurrs 4x the production costs of a non-OAF farmer (see OAF impact modelling).</t>
      </text>
    </comment>
    <comment ref="B70" authorId="18" shapeId="0" xr:uid="{C349C28C-2E9C-4F67-ABDD-E37696959D44}">
      <text>
        <t>[Threaded comment]
Your version of Excel allows you to read this threaded comment; however, any edits to it will get removed if the file is opened in a newer version of Excel. Learn more: https://go.microsoft.com/fwlink/?linkid=870924
Comment:
    The Uganda Macadamia Impact Model includes foregone maize value due to substitution but the monetary amount is negligible (because of the very low number of (surviving) trees). Therefore, we do not consider it here.</t>
      </text>
    </comment>
    <comment ref="C70" authorId="19" shapeId="0" xr:uid="{7DF3FD66-0092-48F3-82A2-AA448AA24345}">
      <text>
        <t>[Threaded comment]
Your version of Excel allows you to read this threaded comment; however, any edits to it will get removed if the file is opened in a newer version of Excel. Learn more: https://go.microsoft.com/fwlink/?linkid=870924
Comment:
    Yield assumptions from OAF Macadamia Impact Model</t>
      </text>
    </comment>
    <comment ref="E75" authorId="20" shapeId="0" xr:uid="{D8A9F5EA-42F8-4E99-BF9B-5254B5DF5D31}">
      <text>
        <t>[Threaded comment]
Your version of Excel allows you to read this threaded comment; however, any edits to it will get removed if the file is opened in a newer version of Excel. Learn more: https://go.microsoft.com/fwlink/?linkid=870924
Comment:
    Fertilizer + seedlings</t>
      </text>
    </comment>
    <comment ref="F75" authorId="21" shapeId="0" xr:uid="{F8579D53-C517-4426-A0E9-AE61F70250E1}">
      <text>
        <t>[Threaded comment]
Your version of Excel allows you to read this threaded comment; however, any edits to it will get removed if the file is opened in a newer version of Excel. Learn more: https://go.microsoft.com/fwlink/?linkid=870924
Comment:
    Pesticide+fertilizer</t>
      </text>
    </comment>
    <comment ref="L75" authorId="22" shapeId="0" xr:uid="{198A7A84-688B-4018-85F5-C27CDEF84F91}">
      <text>
        <t>[Threaded comment]
Your version of Excel allows you to read this threaded comment; however, any edits to it will get removed if the file is opened in a newer version of Excel. Learn more: https://go.microsoft.com/fwlink/?linkid=870924
Comment:
    Fertilizer only</t>
      </text>
    </comment>
    <comment ref="C80" authorId="23" shapeId="0" xr:uid="{5A065A09-913A-483F-8D2A-6F266D520FC4}">
      <text>
        <t xml:space="preserve">[Threaded comment]
Your version of Excel allows you to read this threaded comment; however, any edits to it will get removed if the file is opened in a newer version of Excel. Learn more: https://go.microsoft.com/fwlink/?linkid=870924
Comment:
    In the HWG program, trees are only introduced in Buikwe in Yr 3 of the program. </t>
      </text>
    </comment>
    <comment ref="C84" authorId="24" shapeId="0" xr:uid="{814A9293-D573-490C-A736-1929FB3A0019}">
      <text>
        <t>[Threaded comment]
Your version of Excel allows you to read this threaded comment; however, any edits to it will get removed if the file is opened in a newer version of Excel. Learn more: https://go.microsoft.com/fwlink/?linkid=870924
Comment:
    Acc to OAF Uganda Tree NPV Model maintenance costs are $0.40 Yr1-Yr7 and $0.17 afterwards. We use the same currency excange rate of 3400 UGX=1 USD</t>
      </text>
    </comment>
    <comment ref="B96" authorId="25" shapeId="0" xr:uid="{63FEB16C-3CD1-403D-875B-515A8F5BA7EC}">
      <text>
        <t>[Threaded comment]
Your version of Excel allows you to read this threaded comment; however, any edits to it will get removed if the file is opened in a newer version of Excel. Learn more: https://go.microsoft.com/fwlink/?linkid=870924
Comment:
    We assume 1 farmer=0.97 households</t>
      </text>
    </comment>
    <comment ref="H104" authorId="26" shapeId="0" xr:uid="{AD5D65A8-F2BC-424F-830B-26890A1DAF0F}">
      <text>
        <t>[Threaded comment]
Your version of Excel allows you to read this threaded comment; however, any edits to it will get removed if the file is opened in a newer version of Excel. Learn more: https://go.microsoft.com/fwlink/?linkid=870924
Comment:
    After 3 years, we do not account for further drop-out because full impact materializes after 3 year of program participation.</t>
      </text>
    </comment>
    <comment ref="H135" authorId="27" shapeId="0" xr:uid="{2F2BCBA1-D6D5-4D0F-AB4A-6CF529F111EA}">
      <text>
        <t>[Threaded comment]
Your version of Excel allows you to read this threaded comment; however, any edits to it will get removed if the file is opened in a newer version of Excel. Learn more: https://go.microsoft.com/fwlink/?linkid=870924
Comment:
    OAF doesn‘t have a fixed program duration (as they stay in the project region and continue offering their services). We assume 3 years here because we measure program benefits 3 years after project start in the evaluation</t>
      </text>
    </comment>
    <comment ref="D137" authorId="28" shapeId="0" xr:uid="{8372606C-87A4-4010-823D-B908E3E154BD}">
      <text>
        <t>[Threaded comment]
Your version of Excel allows you to read this threaded comment; however, any edits to it will get removed if the file is opened in a newer version of Excel. Learn more: https://go.microsoft.com/fwlink/?linkid=870924
Comment:
    Deduct EUR 5,710 from 2024 budget because OAF would have scouted fewer sites/districts without the evaluation.</t>
      </text>
    </comment>
    <comment ref="E137" authorId="29" shapeId="0" xr:uid="{0EF90D2A-8EC2-4E38-82E5-92B14278831F}">
      <text>
        <t>[Threaded comment]
Your version of Excel allows you to read this threaded comment; however, any edits to it will get removed if the file is opened in a newer version of Excel. Learn more: https://go.microsoft.com/fwlink/?linkid=870924
Comment:
    Deduct EUR 137,508 for OAF yield study in control sites and increased operational expenses due to simultaneous rollout in 2 districts in Yr 1</t>
      </text>
    </comment>
    <comment ref="F137" authorId="30" shapeId="0" xr:uid="{D74C65EF-CA6B-463B-884A-1F77C5D6E95E}">
      <text>
        <t>[Threaded comment]
Your version of Excel allows you to read this threaded comment; however, any edits to it will get removed if the file is opened in a newer version of Excel. Learn more: https://go.microsoft.com/fwlink/?linkid=870924
Comment:
    Deduct EUR 68,477 for OAF yield study in control sites</t>
      </text>
    </comment>
    <comment ref="G137" authorId="31" shapeId="0" xr:uid="{F5C04338-F946-4FE0-B8FA-5E79A1F2EAE4}">
      <text>
        <t>[Threaded comment]
Your version of Excel allows you to read this threaded comment; however, any edits to it will get removed if the file is opened in a newer version of Excel. Learn more: https://go.microsoft.com/fwlink/?linkid=870924
Comment:
    Deduct EUR 24,980  for OAF yield study in control sites. Added 148,521 EUR in OAF co-funding</t>
      </text>
    </comment>
    <comment ref="B155" authorId="32" shapeId="0" xr:uid="{0A54EEBD-6CC4-4253-AEC2-59349A01CA4A}">
      <text>
        <t>[Threaded comment]
Your version of Excel allows you to read this threaded comment; however, any edits to it will get removed if the file is opened in a newer version of Excel. Learn more: https://go.microsoft.com/fwlink/?linkid=870924
Comment:
    Compared to median baseline household consumption expenditure.</t>
      </text>
    </comment>
  </commentList>
</comments>
</file>

<file path=xl/sharedStrings.xml><?xml version="1.0" encoding="utf-8"?>
<sst xmlns="http://schemas.openxmlformats.org/spreadsheetml/2006/main" count="532" uniqueCount="320">
  <si>
    <t>HWG Impact Model:</t>
  </si>
  <si>
    <t>Making 34,000 Coffee Farmers More Prosperous, Food Secure, and Climate Resilient by 2027</t>
  </si>
  <si>
    <t>Overview</t>
  </si>
  <si>
    <t>Project name</t>
  </si>
  <si>
    <t>Implementing partner</t>
  </si>
  <si>
    <t>One Acre Fund</t>
  </si>
  <si>
    <t>Evaluation partner</t>
  </si>
  <si>
    <t>Laterite</t>
  </si>
  <si>
    <t>Project country</t>
  </si>
  <si>
    <t>Uganda</t>
  </si>
  <si>
    <t>Project region</t>
  </si>
  <si>
    <t xml:space="preserve">Buikwe District, Kassanda District, Mubende District </t>
  </si>
  <si>
    <t>Project duration</t>
  </si>
  <si>
    <t>01/2024 - 12/2027</t>
  </si>
  <si>
    <t>Objective</t>
  </si>
  <si>
    <t>1) increase coffee productivity and revenues, 2) diversify income sources, 3) bolster climate resilience</t>
  </si>
  <si>
    <t>households</t>
  </si>
  <si>
    <t>Date of Analysis / Version</t>
  </si>
  <si>
    <t>Author</t>
  </si>
  <si>
    <t>Sarah Wiegel</t>
  </si>
  <si>
    <t>SROI</t>
  </si>
  <si>
    <r>
      <t xml:space="preserve">Total SROI </t>
    </r>
    <r>
      <rPr>
        <b/>
        <sz val="10"/>
        <color theme="1"/>
        <rFont val="Pero"/>
        <family val="2"/>
      </rPr>
      <t>(10 year time frame)</t>
    </r>
  </si>
  <si>
    <t>Type</t>
  </si>
  <si>
    <t>Forecast</t>
  </si>
  <si>
    <t>Level of certainty*</t>
  </si>
  <si>
    <t>Low</t>
  </si>
  <si>
    <t>OAF impact reports and impact models</t>
  </si>
  <si>
    <r>
      <t xml:space="preserve">Sensitivity analysis
</t>
    </r>
    <r>
      <rPr>
        <sz val="10"/>
        <color theme="1"/>
        <rFont val="Pero"/>
        <family val="2"/>
      </rPr>
      <t>(parameters to determine lower- and upper-bound SROI estimates)</t>
    </r>
  </si>
  <si>
    <t>Coffee productivity increase + Tree survival rate + Macadamia survival rate</t>
  </si>
  <si>
    <t>Lower-bound SROI</t>
  </si>
  <si>
    <t>Upper-bound SROI</t>
  </si>
  <si>
    <t>Details of HWG Evaluation</t>
  </si>
  <si>
    <t>Evaluation methodology</t>
  </si>
  <si>
    <t>Primary outcome</t>
  </si>
  <si>
    <t>Coffee yield per tree</t>
  </si>
  <si>
    <t>Income measurement</t>
  </si>
  <si>
    <t>Derived from share of coffee income in total household income (10-stones method)</t>
  </si>
  <si>
    <t>Sample size</t>
  </si>
  <si>
    <t>810 households in 45 parishes</t>
  </si>
  <si>
    <t>Study population</t>
  </si>
  <si>
    <t>Coffee-cultivating households that plan to harvest this season, have at least 200 coffee trees, and reside in project parishes</t>
  </si>
  <si>
    <t>Methodological rigor*</t>
  </si>
  <si>
    <t>Good</t>
  </si>
  <si>
    <t xml:space="preserve">Findings on other outcomes </t>
  </si>
  <si>
    <t>Food security</t>
  </si>
  <si>
    <t>Results expected in October 2026 (midline) and October 2028 (endline)</t>
  </si>
  <si>
    <t>Intra-household decision-making</t>
  </si>
  <si>
    <t>Present Value vs Costs</t>
  </si>
  <si>
    <t>Costs per HH</t>
  </si>
  <si>
    <t>Present Value per HH</t>
  </si>
  <si>
    <t>NPV per HH</t>
  </si>
  <si>
    <t>Kassanda und Mubende</t>
  </si>
  <si>
    <t>Buikwe</t>
  </si>
  <si>
    <t xml:space="preserve">Coffee </t>
  </si>
  <si>
    <t>Chia</t>
  </si>
  <si>
    <t>Macadamia</t>
  </si>
  <si>
    <t>Trees</t>
  </si>
  <si>
    <t>Project Costs discounted</t>
  </si>
  <si>
    <t xml:space="preserve">Present Value </t>
  </si>
  <si>
    <t xml:space="preserve">Net Present Value </t>
  </si>
  <si>
    <t>1) OAF Program Theory of Change</t>
  </si>
  <si>
    <t>2) HereWeGrow Impact Map</t>
  </si>
  <si>
    <t>1) Details of the Analysis</t>
  </si>
  <si>
    <t>Impact Measure*</t>
  </si>
  <si>
    <t>Additional net income (profit) generated</t>
  </si>
  <si>
    <t>Cell shading indicates data confidence</t>
  </si>
  <si>
    <t>Base year</t>
  </si>
  <si>
    <t>Substantiated — supported by credible empirical source</t>
  </si>
  <si>
    <t>Year of Analysis</t>
  </si>
  <si>
    <t>Uncertain — based on limited data, proxy, or forecast assumption</t>
  </si>
  <si>
    <t>Year of Analysis Currency</t>
  </si>
  <si>
    <t>2021 EUR</t>
  </si>
  <si>
    <t>2) Assumptions Used in the Analysis</t>
  </si>
  <si>
    <t>Assumption</t>
  </si>
  <si>
    <t>Value</t>
  </si>
  <si>
    <t>Discount rate*</t>
  </si>
  <si>
    <t>Farm &amp; agronomic parameters</t>
  </si>
  <si>
    <t>Coffee Mubende &amp; Kassanda</t>
  </si>
  <si>
    <t>Coffee Buikwe (only when different from Mubende/Kassanda assumptions)</t>
  </si>
  <si>
    <t>Parameter</t>
  </si>
  <si>
    <t>Source</t>
  </si>
  <si>
    <t>Notes</t>
  </si>
  <si>
    <t>Median coffee farm size (ha)</t>
  </si>
  <si>
    <t>Laterite baseline data (variable landuse_rob_ha)</t>
  </si>
  <si>
    <t>Median coffee Farm Size (ha)</t>
  </si>
  <si>
    <t>OAF Buikwe GAP Implementation Check Data 2024</t>
  </si>
  <si>
    <t>Median number of productive coffee trees per ha</t>
  </si>
  <si>
    <t>Laterite baseline data (variable pt_pa_cpa)</t>
  </si>
  <si>
    <t>This is number of productive coffee trees per coffee-planted area. Coffee-planted area refers to the portion of a farmer’s land specifically planted with coffee trees. If a farmer reported that a certain percentage of a plot is under coffee, this percentage was applied to the plot size to estimate the coffee-planted area.</t>
  </si>
  <si>
    <t>Median Robusta productivity major season (kg fresh cherry/tree)</t>
  </si>
  <si>
    <t>Laterite Baseline Report, p. 45</t>
  </si>
  <si>
    <t>Value provided as dried cherry (kiboko); converted to fresh cherry by dividing by 0.4</t>
  </si>
  <si>
    <t xml:space="preserve">Acc to Enveritas and OAF2021 Coffee Impact Study, coffee tree productivity is similar in Kassanda/Mubende and Buikwe/Mukono. Data from OAF 2023 Coffee Impact Study in Mukono shows much higher productivity levels (around 3 kg kiboko per tree for comparison farmers). Yet, this may still incorporate spillover effects of OAF programming. </t>
  </si>
  <si>
    <t>Median Robusta productivity minor season (kg fresh cherry/tree)</t>
  </si>
  <si>
    <t>Laterite baseline data</t>
  </si>
  <si>
    <t>From OAF SROI modelling and Laterite baseline data (variable ratio_s2_s1) we assume minor harvest is about 60-70% of production at major harvest.</t>
  </si>
  <si>
    <t>Median coffee production (kg fresh cherry)</t>
  </si>
  <si>
    <t>Mean hh expenditure for hired labor for harvesting per kg fresh cherry (in real 2024 UGX)</t>
  </si>
  <si>
    <t>Laterite baseline data (see code SROI.do)</t>
  </si>
  <si>
    <t>includes those that have zero expenditure for hired labor for harvesting</t>
  </si>
  <si>
    <t>We don't have data for Buikwe and thus assume same values than for Kassanda/Mubende</t>
  </si>
  <si>
    <t>Mean expenditure for inorganic fertilizer per ha (in real 2024 UGX)</t>
  </si>
  <si>
    <t>includes those that have zero expenditure for fertilizer</t>
  </si>
  <si>
    <t>Coffee tree productivity increase due to GAP adoptionin Yr 1</t>
  </si>
  <si>
    <t>OAF Coffee Impact Report 2025 Central Western</t>
  </si>
  <si>
    <t>Coffee tree productivity increase due to GAP adoption from Year 2 onwards</t>
  </si>
  <si>
    <t>M&amp;E framework</t>
  </si>
  <si>
    <t>Coffee sales price increase du to OAF Market Access Program</t>
  </si>
  <si>
    <t>% of coffee sold to better marketing channel</t>
  </si>
  <si>
    <t>Market access program starts in Yr2</t>
  </si>
  <si>
    <t>% of households participating in Market Access Program</t>
  </si>
  <si>
    <t>HWG assumption</t>
  </si>
  <si>
    <t>Annual median total household income (in nominal 2024 UGX)</t>
  </si>
  <si>
    <t>Laterite Baseline Report, p. 25</t>
  </si>
  <si>
    <t>=3431.973*365*5.4</t>
  </si>
  <si>
    <t>We assume that all additional effort required for GAP adoption can be consumed by hh labor and hired labor for harvesting and expenditures for inorganic fertilizer are the only incremental costs the hh faces due to improved farm management/GAP adoption. This is in line with OAF impact modelling.</t>
  </si>
  <si>
    <t>Chia Mubende &amp; Kassanda</t>
  </si>
  <si>
    <t>Average chia farm size (ha)</t>
  </si>
  <si>
    <t>OAF Chia Impact Model 2025 MubendeKassanda</t>
  </si>
  <si>
    <t>OAF Quarterly Report Nov 2025</t>
  </si>
  <si>
    <t>Average chia production (kg per hectare) per year</t>
  </si>
  <si>
    <t>acc to OAF, this is a conservative yield estimate.
There are 2 seasons per year.</t>
  </si>
  <si>
    <t>Annual chia revenue per ha (PSM with OAF non-Chia farmers) (in real 2024 UGX)</t>
  </si>
  <si>
    <t>Cost of chia seed per kg (in real 2024 UGX)</t>
  </si>
  <si>
    <t>Seed rate (kg per ha)</t>
  </si>
  <si>
    <t>1 kg per acre</t>
  </si>
  <si>
    <t>Annual production costs chia per ha (in real 2024 UGX)</t>
  </si>
  <si>
    <t>OAF Chia Impact Model 2025</t>
  </si>
  <si>
    <t>% of farmers adopting chia</t>
  </si>
  <si>
    <t>Target in M&amp;E framework is for chia, macadamia or other commercial crops; but OAF monitoring data for Buikwe shows that 10% chia adoption is feasible.
We do not expect a temporal decay of adoption because OAF retail continues to operate after project end.</t>
  </si>
  <si>
    <t>Profit per ha from replacement crops of OAF-non-Chia farmers (in 2024 UGX)</t>
  </si>
  <si>
    <t>OAF non-Chia farmers serve as comparison group. Acc to OAF pre-study phone survey they plant replacement crops line groundnuts, soya, or sweet potato)</t>
  </si>
  <si>
    <t>Average number of trees planted</t>
  </si>
  <si>
    <t>OAF Quarterly Report Q4 2025</t>
  </si>
  <si>
    <t>for adopters</t>
  </si>
  <si>
    <t xml:space="preserve">very conservative. In other models, OAF assumes up to 80% survival rate 12-months post transpalntation (77% after 24 months) </t>
  </si>
  <si>
    <t>% of farmers adopting macadamia</t>
  </si>
  <si>
    <t>target in M&amp;E framework is for chia, macadamia or other commercial crops; but OAF monitoring data for Buikwe shows that 10% macadamia adoption is feasible.
We do not expect a temporal decay of adoption because OAF retail continues to operate after project end.</t>
  </si>
  <si>
    <t>Cost per macadamia seedling (in real 2024 UGX)</t>
  </si>
  <si>
    <t>OAF Uganda Macadamia Impact Model 2024</t>
  </si>
  <si>
    <t>Cost of pesticides per tree per year (in real 2024 UGX)</t>
  </si>
  <si>
    <t xml:space="preserve"> Pesticide only used in years 2-7; later tree becomes too tall to spray and smoking preferred method of pest control </t>
  </si>
  <si>
    <t>Cost of fertilizer (kg) (in real 2024 UGX)</t>
  </si>
  <si>
    <t>Number of tree seedlings distributed per farmer</t>
  </si>
  <si>
    <t>OAF Agroforestry Update</t>
  </si>
  <si>
    <t>Tree planting rate</t>
  </si>
  <si>
    <t>Agroforestry Implementation Update v2</t>
  </si>
  <si>
    <t>Tree survival rate at 12 months post-transplantation</t>
  </si>
  <si>
    <t>Selling price per bundle of firewood (in real 2024 UGX)</t>
  </si>
  <si>
    <t>OAF Uganda Grev NPV Model</t>
  </si>
  <si>
    <t>OAF Uganda Tree NPV Model</t>
  </si>
  <si>
    <t>Revenue from timber sale in Yr 9 (in real 2024 UGX)</t>
  </si>
  <si>
    <t>Revenue from firewood per tree from Yr 6 onwards (in real 2024 UGX)</t>
  </si>
  <si>
    <t>Acc to OAF Uganda Tree NPV Model, a farmer sells 28.51 units of firewood per tree for $0.11 per unit per year from year 6 onwards.</t>
  </si>
  <si>
    <t>Sales prices</t>
  </si>
  <si>
    <t>Year</t>
  </si>
  <si>
    <t>Coffee Price (kg fresh cherry) (in nominal UGX)</t>
  </si>
  <si>
    <t xml:space="preserve">2021-2024: Ibero Robusta coffee prices 2021-2024; 2025: Laterite baseline report; 2026-2038: inflate real prices using predicted GDP deflator; </t>
  </si>
  <si>
    <t>Coffee Price (kg fresh cherry) (in real 2024 UGX)</t>
  </si>
  <si>
    <t>from 2026: 3-year average (2023-2025)</t>
  </si>
  <si>
    <t>Chia Price (kg)
(in nominal UGX)</t>
  </si>
  <si>
    <t>2023-2025: OAF; 2026-2038: inflate real prices using predicted GDP deflator</t>
  </si>
  <si>
    <t>Chia Price (kg ) (in real 2024 UGX)</t>
  </si>
  <si>
    <t>we carry 2023 prices forward</t>
  </si>
  <si>
    <t>Maize Price (kg dry) (in nominal UGX)</t>
  </si>
  <si>
    <t>2022-2025: FAO Food Price Monitoring Tool (https://fpma.fao.org/giews/fpmat4/global/#/dashboard/tool/domestic). The tool provides national average retail prices . To convert this into farm gate price we multiply retail price by 0.6 (this assumes farmers receive on average about 60% of the retail price on average). 2026-2030: inflate real prices using predicted GDP deflator; 2026-2034: 3-year average (2023-2025)</t>
  </si>
  <si>
    <t>Maize Price (kg dry) (in real 2024 UGX)</t>
  </si>
  <si>
    <t>Macadamia Price (kg raw nuts) (in nominal 2024 UGX)</t>
  </si>
  <si>
    <t>2025-2038: inflate real prices using predicted GDP deflator</t>
  </si>
  <si>
    <t>Macadamia Price (kg raw nuts) (in real 2024 UGX)</t>
  </si>
  <si>
    <t>2024: OAF; we carry 2024 prices forward</t>
  </si>
  <si>
    <t>Linear decay in farmers' practice adoption</t>
  </si>
  <si>
    <t>(IPE Triple Line, 2017)</t>
  </si>
  <si>
    <t>Household reach</t>
  </si>
  <si>
    <t>Number of households</t>
  </si>
  <si>
    <t>Farmer program retention</t>
  </si>
  <si>
    <t>Source: OAF Quarterly Report Q3 2025</t>
  </si>
  <si>
    <t>Inflation*</t>
  </si>
  <si>
    <t>Sources</t>
  </si>
  <si>
    <t>Uganda GDP deflator (annual %) base year=2016</t>
  </si>
  <si>
    <t xml:space="preserve">2021-2030: IMF GDP deflator; 2031-2034: 3-year average inflation rate (2028-2030 - 4.6% per year) </t>
  </si>
  <si>
    <t>Germany GDP deflator (annual %) base year=2015/2016</t>
  </si>
  <si>
    <t>Exchange rates</t>
  </si>
  <si>
    <t>UGX:EUR</t>
  </si>
  <si>
    <t>Standard</t>
  </si>
  <si>
    <t xml:space="preserve"> 2021 average </t>
  </si>
  <si>
    <t>UGX:USD</t>
  </si>
  <si>
    <t>PPP</t>
  </si>
  <si>
    <t>PPP conversion factor, GDP (LCU per international $)</t>
  </si>
  <si>
    <t>*Detailed definitions and background information are given under the tab "Info".</t>
  </si>
  <si>
    <t>1) Incremental Cash-flow household level</t>
  </si>
  <si>
    <t>Kassanda &amp; Mubende</t>
  </si>
  <si>
    <t>Coffee revenue through increased production (GAP adoption and reduced post-harvest losses) and better coffee prices</t>
  </si>
  <si>
    <t xml:space="preserve">Yield benefit (kg fresh cherry) </t>
  </si>
  <si>
    <t>-</t>
  </si>
  <si>
    <t>Harvest Cost additional  (in real 2024 UGX)</t>
  </si>
  <si>
    <t>% of households that start adopting inorganic fertilizer</t>
  </si>
  <si>
    <t>Fertilizer cost additional (in real 2024 UGX)</t>
  </si>
  <si>
    <t>Additional revenue per household  (in real 2024 UGX) - production effect</t>
  </si>
  <si>
    <t>Additional revenue per household  (in real 2024 UGX) - price effect</t>
  </si>
  <si>
    <t>Additional profit per household (in real 2024 UGX)</t>
  </si>
  <si>
    <t>Additional profit per household, discounted (in real 2024 UGX)</t>
  </si>
  <si>
    <t>Additional profit per household, discounted (in real 2021 UGX)</t>
  </si>
  <si>
    <t>Additional profit per household, discounted (in real 2021 EUR)</t>
  </si>
  <si>
    <t>Chia revenue per household (in real 2024 UGX)</t>
  </si>
  <si>
    <t>Chia production costs (in real 2024 UGX)</t>
  </si>
  <si>
    <t>Chia profit per household (in real 2024 UGX)</t>
  </si>
  <si>
    <t>Profit from replacement crops per household (in real 2024 UGX)</t>
  </si>
  <si>
    <t>Kg expected sales (w/ wastage) per tree</t>
  </si>
  <si>
    <t>Number of trees per household</t>
  </si>
  <si>
    <t>Revenue per household (in real 2024 UGX)</t>
  </si>
  <si>
    <t>Kg fertilizer required</t>
  </si>
  <si>
    <t>Total production cost (in real 2024 UGX)</t>
  </si>
  <si>
    <t xml:space="preserve">- </t>
  </si>
  <si>
    <t>Firewood production per tree (bundles)</t>
  </si>
  <si>
    <t>Revenue from firewood (use and sale) (in real 2024 UGX)</t>
  </si>
  <si>
    <t>Additional income per household (in real 2024 UGX)</t>
  </si>
  <si>
    <t>Additional income per household, discounted (in real 2021 UGX)</t>
  </si>
  <si>
    <t>Additonal income per household, discounted (in real 2021 EUR)</t>
  </si>
  <si>
    <t>Present Value per household (in real 2021 EUR)</t>
  </si>
  <si>
    <t>Present Value per household (EUR)</t>
  </si>
  <si>
    <t>2) Number of households per year and project location</t>
  </si>
  <si>
    <t>Mubende &amp; Kassanda</t>
  </si>
  <si>
    <t>Number of years since participation</t>
  </si>
  <si>
    <t>Project Lifetime</t>
  </si>
  <si>
    <t>Beyond Project Lifetime</t>
  </si>
  <si>
    <t>3) Incremental cash-flow total project discounted</t>
  </si>
  <si>
    <t>Incremental Cash-flow, discounted (in real 2021 EUR)</t>
  </si>
  <si>
    <t>Total</t>
  </si>
  <si>
    <t>Incremental Cash-flow EUR, discounted</t>
  </si>
  <si>
    <t xml:space="preserve">4) Project Costs </t>
  </si>
  <si>
    <t>HWG investment</t>
  </si>
  <si>
    <t>Additional costs to complete 3-years of OAF programming</t>
  </si>
  <si>
    <t>Project Costs (in nominal EUR)</t>
  </si>
  <si>
    <t>OAF Budget FR Q3 2025</t>
  </si>
  <si>
    <t>Project Costs (in real 2024 EUR)</t>
  </si>
  <si>
    <t>OAF e-mail SROI budget</t>
  </si>
  <si>
    <t>Project Costs, discounted (in real 2024 EUR)</t>
  </si>
  <si>
    <t>Project Cost, discounted (in real 2021 EUR)</t>
  </si>
  <si>
    <t>HWG investment discounted (in 2021 EUR)</t>
  </si>
  <si>
    <t>Cost per household-year (in 2021 EUR)</t>
  </si>
  <si>
    <t>Total project costs (to allow 3-year programming for all enrolled hh) (discounted in 2021 EUR)</t>
  </si>
  <si>
    <t xml:space="preserve">Program costs per household discounted (in 2021 EUR) </t>
  </si>
  <si>
    <t>5) Present Value (in 2021 EUR)</t>
  </si>
  <si>
    <t xml:space="preserve">Present Value per household  Kassanda &amp; Mubende </t>
  </si>
  <si>
    <t>Present Value per household  Buikwe</t>
  </si>
  <si>
    <t>Present Value per household</t>
  </si>
  <si>
    <t>Total Project Net Present Value</t>
  </si>
  <si>
    <t>Net Present Value per household</t>
  </si>
  <si>
    <t>Relative increase in household income</t>
  </si>
  <si>
    <t>6) Project SROI</t>
  </si>
  <si>
    <t>Social Return on Investment (SROI)</t>
  </si>
  <si>
    <t>SROI = Total Benefits / Project Costs</t>
  </si>
  <si>
    <t>Sensitivity Analysis</t>
  </si>
  <si>
    <t>Driver</t>
  </si>
  <si>
    <t>Base</t>
  </si>
  <si>
    <t>Note</t>
  </si>
  <si>
    <t>Discount rate</t>
  </si>
  <si>
    <t>Master input.</t>
  </si>
  <si>
    <t>Coffee price change</t>
  </si>
  <si>
    <t>Master input</t>
  </si>
  <si>
    <t>Annual effect decay/increase</t>
  </si>
  <si>
    <t>Master input. SROI discounting reads this cell.</t>
  </si>
  <si>
    <t>Non-implementation cost share deducted</t>
  </si>
  <si>
    <t>Master input. Deducted from annual budget.</t>
  </si>
  <si>
    <t xml:space="preserve">Master input. </t>
  </si>
  <si>
    <t>Share of households participating in market access program</t>
  </si>
  <si>
    <t>Coffee sales price increase through market access component</t>
  </si>
  <si>
    <t>Macadamia survival rate</t>
  </si>
  <si>
    <t>Tree survival rate</t>
  </si>
  <si>
    <t>NCIS</t>
  </si>
  <si>
    <t>Coffee</t>
  </si>
  <si>
    <t>Share of hh participating in market access program</t>
  </si>
  <si>
    <t>Productivity increase</t>
  </si>
  <si>
    <t>Sales price increase</t>
  </si>
  <si>
    <t>Macadamia &amp; Trees</t>
  </si>
  <si>
    <t xml:space="preserve">To test different scenarios change the data in column "Value". Reinsert the values from column "Base" into the column "Value" to reproduce the original model. </t>
  </si>
  <si>
    <t>SROI (based on entries in column "Value")</t>
  </si>
  <si>
    <t>To be reached in Yr 2. The M&amp;E Framework states 20% productivity increase (compared to 40% in the OAF impact model) because 55% of the hh will only participate 1 year in the HWG-funded program period. Since we consider program costs, as if all households received 3 years of programming, we use here the full expected productivity increase.</t>
  </si>
  <si>
    <t>Households entering each year</t>
  </si>
  <si>
    <t>Outreach (cumulative)</t>
  </si>
  <si>
    <t>Households enrolled at end of project (2027)</t>
  </si>
  <si>
    <t>Number of households enrolled Kassanda &amp; Mubende (target)</t>
  </si>
  <si>
    <t>Number of households enrolled Kassanda &amp; Mubende (actual)</t>
  </si>
  <si>
    <t>Number of households enrolled Buikwe (target)</t>
  </si>
  <si>
    <t>Number of households enrolled Buikwe (actual)</t>
  </si>
  <si>
    <t>Total number of households enrolled (target)</t>
  </si>
  <si>
    <t>Total number of households enrolled (actual)</t>
  </si>
  <si>
    <t>It costs about 33 EUR (in 2021 EUR) to provide one year of programming to one household.</t>
  </si>
  <si>
    <t>The average cost per participating household is 73 EUR (in 2021 EUR). This figure accounts for staggered program entry by weighting households according to their duration of participation.</t>
  </si>
  <si>
    <t>2024 average</t>
  </si>
  <si>
    <t>Budget (nominal EUR)</t>
  </si>
  <si>
    <t>Quasi-experimental design (DiD) with staggered roll-out</t>
  </si>
  <si>
    <t>Data source of impact estimates</t>
  </si>
  <si>
    <t>Chia Buikwe (only when different from Mubende/Kassanda assumptions)</t>
  </si>
  <si>
    <t>Monitoring data from Q2 2025 shows 3% participation in Buikwe.</t>
  </si>
  <si>
    <t>in 2025: 4,000 UGX (govt subsidized), 12,000 UGX non-subsidized (e-mail OAF). If subsidized seedlings are available, OAF sells at subsidized price to the farmer. For simplicity, we work with non-subsidized price.</t>
  </si>
  <si>
    <t>household-years</t>
  </si>
  <si>
    <t>Consider timber sale value in Year 10</t>
  </si>
  <si>
    <t>Consider costs (land &amp; labor) for tree planting, maintenance and harvest</t>
  </si>
  <si>
    <t>Scope choice, not uncertain parameter. 1=include, 0=exclude. Read directly by SROI rows 36 and 84. Tree sale is asset liquidation and not an income stream. Therefore it is not counted in the base case specification but can be included in sensitivity analysis</t>
  </si>
  <si>
    <t>Scope choice, not uncertain parameter. 1=include, 0=exclude. Read directly by SROI rows 38 and 86. Can be included if timber asset value is considered in sensitivity analysis.</t>
  </si>
  <si>
    <t>Acc to the OAF Uganda Tree NPV Model, farmer can sell timber and whole tree. This seems implaussible - these are two prices for the same tree under two different disposal routes (a tree sold whole is gone). Therefore, we only consider timber sales in the sensitivty analysis and disregard revenue from whole tree sale. We discount the avg sales price at Yr 20 to Yr 8</t>
  </si>
  <si>
    <t>Acc to the OAF Uganda Tree NPV Model, farmer can sell timber and whole tree. We only consider timber sales. We discount the avg sales price at Yr 20 ($20.9) to Yr 9</t>
  </si>
  <si>
    <t>Revenue from timber (in real 2024 UGX), excluded from SROI (switch: Sensitivity analysis C15)</t>
  </si>
  <si>
    <t>Revenue from timber (in real 2024 UGX); excluded from SROI (switch: Sensitivity analysis C15)</t>
  </si>
  <si>
    <t>Total costs (labor and land opportunity cost) (in real 2024 UGX); excluded from SROI (switch: Sensitivity analysis C16)</t>
  </si>
  <si>
    <t>Total costs (labor and land opportunity costs) (in real 2024 UGX); excluded from SROI (switch: Sensitivity analysis C16)</t>
  </si>
  <si>
    <t>Include tree assets</t>
  </si>
  <si>
    <t>Include tree costs</t>
  </si>
  <si>
    <t>Include tree asset sale value</t>
  </si>
  <si>
    <t>Average coffee price change</t>
  </si>
  <si>
    <r>
      <rPr>
        <b/>
        <sz val="11"/>
        <color theme="1"/>
        <rFont val="Pero"/>
        <family val="2"/>
      </rPr>
      <t xml:space="preserve">Considering tree asset sale value: </t>
    </r>
    <r>
      <rPr>
        <sz val="11"/>
        <color theme="1"/>
        <rFont val="Pero"/>
        <family val="2"/>
      </rPr>
      <t>The base case does not include tree sale value becuase this represents asset liquidation rather than an income stream. Including the asset value of timber sales in the SROI calculation only changes SROI in the second post-comma digit.</t>
    </r>
  </si>
  <si>
    <t>Revenue from whole tree sale per tree in Yr 9 (in real 2024 UGX) (NOT USED!)</t>
  </si>
  <si>
    <r>
      <rPr>
        <b/>
        <sz val="11"/>
        <color theme="1"/>
        <rFont val="Pero"/>
        <family val="2"/>
      </rPr>
      <t xml:space="preserve">Discount rate: </t>
    </r>
    <r>
      <rPr>
        <sz val="11"/>
        <color theme="1"/>
        <rFont val="Pero"/>
        <family val="2"/>
      </rPr>
      <t>Not discounting project benefits and costs would increase the SROI to 10.</t>
    </r>
    <r>
      <rPr>
        <sz val="11"/>
        <color theme="1"/>
        <rFont val="Pero"/>
        <family val="2"/>
      </rPr>
      <t>7.</t>
    </r>
  </si>
  <si>
    <r>
      <rPr>
        <b/>
        <sz val="11"/>
        <color theme="1"/>
        <rFont val="Pero"/>
        <family val="2"/>
      </rPr>
      <t xml:space="preserve">Non-implementation cost share: </t>
    </r>
    <r>
      <rPr>
        <sz val="11"/>
        <color theme="1"/>
        <rFont val="Pero"/>
        <family val="2"/>
      </rPr>
      <t>The project budget includes 15% indirect costs. Excluding these costs in the cost base for the SROI calculation increases SROI to 9.3.</t>
    </r>
  </si>
  <si>
    <r>
      <rPr>
        <b/>
        <sz val="11"/>
        <color theme="1"/>
        <rFont val="Pero"/>
        <family val="2"/>
      </rPr>
      <t>Coffee tree productivity</t>
    </r>
    <r>
      <rPr>
        <sz val="11"/>
        <color theme="1"/>
        <rFont val="Pero"/>
        <family val="2"/>
      </rPr>
      <t xml:space="preserve">: Coffee tree productivity increase through GAP adoption (including inorganic fertilizer use) is a key parameter of the SROI model. Sensitivity analysis shows that even under a very modest productivity increase of 5% the program would create additonal value. Assuming a 20% productivity increase (instead of 40%) lowers SROI to 4.5. In contrast, having more households enrolled in the Market Access Program has little effect on SROI. That is because the expected coffee price increase is modest (5%) and households are expected to sell only part of their coffee to buying partners.
</t>
    </r>
  </si>
  <si>
    <r>
      <rPr>
        <b/>
        <sz val="11"/>
        <color theme="1"/>
        <rFont val="Pero"/>
        <family val="2"/>
      </rPr>
      <t xml:space="preserve">Market access component: </t>
    </r>
    <r>
      <rPr>
        <sz val="11"/>
        <color theme="1"/>
        <rFont val="Pero"/>
        <family val="2"/>
      </rPr>
      <t>Sensitivity analysis shows that price effects lead to much smaller gains in SROI than productivity effects. If the share of coffee households sell to buyback partners is kept constant at 20%, households' participation in the market access program and coffee sales prices have limited effects. Universal participation in the Market Access Program and a sales price increase of 75% would increase SROI to 12.3.</t>
    </r>
  </si>
  <si>
    <r>
      <rPr>
        <b/>
        <sz val="11"/>
        <color theme="1"/>
        <rFont val="Pero"/>
        <family val="2"/>
      </rPr>
      <t>Coffee price development:</t>
    </r>
    <r>
      <rPr>
        <sz val="11"/>
        <color theme="1"/>
        <rFont val="Pero"/>
        <family val="2"/>
      </rPr>
      <t xml:space="preserve"> Average coffee price changes have a direct and substantial influence on the SROI. At the base case of 40% coffee productivity increase, the SROI ranges from 3.5 at a −30% price change to 23.9 at a +30% price change. The project remains above breakeven across all tested price and productivity scenarios.</t>
    </r>
  </si>
  <si>
    <r>
      <rPr>
        <b/>
        <sz val="11"/>
        <color theme="1"/>
        <rFont val="Pero"/>
        <family val="2"/>
      </rPr>
      <t>Macadamia &amp; tree survival:</t>
    </r>
    <r>
      <rPr>
        <sz val="11"/>
        <color theme="1"/>
        <rFont val="Pero"/>
        <family val="2"/>
      </rPr>
      <t xml:space="preserve"> The model assumes a very conservative tree survival rate of 35%. Evidence from Kenya and other projects in Uganda show tree survival rates of around 80% 12 months post-transplantation. Under the assumption that 80% of macadamia and other tree seedlings survived at 12 months post-transplantation, SROI would change from 7.9 to 8.9.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</si>
</sst>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0\ &quot;€&quot;;\-#,##0\ &quot;€&quot;"/>
    <numFmt numFmtId="43" formatCode="_-* #,##0.00_-;\-* #,##0.00_-;_-* &quot;-&quot;??_-;_-@_-"/>
    <numFmt numFmtId="164" formatCode="_-* #,##0_-;\-* #,##0_-;_-* &quot;-&quot;??_-;_-@_-"/>
    <numFmt numFmtId="165" formatCode="_-* #,##0.00\ [$€-407]_-;\-* #,##0.00\ [$€-407]_-;_-* &quot;-&quot;??\ [$€-407]_-;_-@_-"/>
    <numFmt numFmtId="166" formatCode="0.0"/>
    <numFmt numFmtId="167" formatCode="#,##0.0"/>
    <numFmt numFmtId="168" formatCode="_-* #,##0\ [$€-407]_-;\-* #,##0\ [$€-407]_-;_-* &quot;-&quot;\ [$€-407]_-;_-@_-"/>
    <numFmt numFmtId="169" formatCode="#,##0\ [$ETB]"/>
    <numFmt numFmtId="170" formatCode="0.000"/>
    <numFmt numFmtId="171" formatCode="#,##0.00\ [$ETB];\-#,##0.00\ [$ETB]"/>
    <numFmt numFmtId="172" formatCode="#,##0_ ;\-#,##0\ "/>
    <numFmt numFmtId="173" formatCode="#,##0\ [$€-407];\-#,##0\ [$€-407]"/>
    <numFmt numFmtId="174" formatCode="#,##0\ &quot;€&quot;"/>
    <numFmt numFmtId="175" formatCode="#,##0\ _€"/>
    <numFmt numFmtId="176" formatCode="#,##0\ _€;\-#,##0\ _€"/>
    <numFmt numFmtId="177" formatCode="#,##0.00000"/>
  </numFmts>
  <fonts count="45" x14ac:knownFonts="1">
    <font>
      <sz val="11"/>
      <color theme="1"/>
      <name val="Calibri"/>
      <family val="2"/>
      <scheme val="minor"/>
    </font>
    <font>
      <sz val="11"/>
      <color theme="1"/>
      <name val="Pero"/>
      <family val="2"/>
    </font>
    <font>
      <sz val="11"/>
      <color theme="1"/>
      <name val="Pero"/>
      <family val="2"/>
    </font>
    <font>
      <sz val="11"/>
      <color theme="1"/>
      <name val="Pero"/>
      <family val="2"/>
    </font>
    <font>
      <sz val="11"/>
      <color theme="1"/>
      <name val="Pero"/>
      <family val="2"/>
    </font>
    <font>
      <sz val="11"/>
      <color theme="1"/>
      <name val="Pero"/>
      <family val="2"/>
    </font>
    <font>
      <sz val="11"/>
      <color theme="1"/>
      <name val="Calibri"/>
      <family val="2"/>
      <scheme val="minor"/>
    </font>
    <font>
      <sz val="11"/>
      <color theme="1"/>
      <name val="Pero"/>
      <family val="2"/>
    </font>
    <font>
      <u/>
      <sz val="11"/>
      <color theme="10"/>
      <name val="Calibri"/>
      <family val="2"/>
      <scheme val="minor"/>
    </font>
    <font>
      <b/>
      <sz val="11"/>
      <color theme="1"/>
      <name val="Pero"/>
      <family val="2"/>
    </font>
    <font>
      <sz val="11"/>
      <color theme="1"/>
      <name val="Pero ExtraBold"/>
      <family val="2"/>
    </font>
    <font>
      <b/>
      <sz val="12"/>
      <color theme="1"/>
      <name val="Pero ExtraBold"/>
      <family val="2"/>
    </font>
    <font>
      <b/>
      <sz val="14"/>
      <color theme="1"/>
      <name val="Pero ExtraBold"/>
      <family val="2"/>
    </font>
    <font>
      <sz val="14"/>
      <color theme="1"/>
      <name val="Pero ExtraBold"/>
      <family val="2"/>
    </font>
    <font>
      <sz val="20"/>
      <color theme="1"/>
      <name val="Pero ExtraBold"/>
      <family val="2"/>
    </font>
    <font>
      <i/>
      <sz val="11"/>
      <color theme="1"/>
      <name val="Calibri"/>
      <family val="2"/>
      <scheme val="minor"/>
    </font>
    <font>
      <b/>
      <sz val="14"/>
      <color theme="1"/>
      <name val="Pero"/>
      <family val="2"/>
    </font>
    <font>
      <sz val="11"/>
      <color indexed="8"/>
      <name val="Calibri"/>
      <family val="2"/>
    </font>
    <font>
      <b/>
      <sz val="14"/>
      <color indexed="8"/>
      <name val="Pero"/>
      <family val="2"/>
    </font>
    <font>
      <sz val="10"/>
      <color indexed="8"/>
      <name val="Pero"/>
      <family val="2"/>
    </font>
    <font>
      <sz val="11"/>
      <color indexed="8"/>
      <name val="Pero"/>
      <family val="2"/>
    </font>
    <font>
      <b/>
      <sz val="11"/>
      <color theme="1"/>
      <name val="Calibri"/>
      <family val="2"/>
      <scheme val="minor"/>
    </font>
    <font>
      <b/>
      <sz val="11"/>
      <color indexed="8"/>
      <name val="Pero"/>
      <family val="2"/>
    </font>
    <font>
      <sz val="11"/>
      <color rgb="FF000000"/>
      <name val="Pero"/>
      <family val="2"/>
    </font>
    <font>
      <b/>
      <sz val="16"/>
      <color indexed="8"/>
      <name val="Pero"/>
      <family val="2"/>
    </font>
    <font>
      <b/>
      <sz val="14"/>
      <color theme="0"/>
      <name val="Pero"/>
      <family val="2"/>
    </font>
    <font>
      <b/>
      <sz val="11"/>
      <color theme="1"/>
      <name val="Pero ExtraBold"/>
      <family val="2"/>
    </font>
    <font>
      <sz val="11"/>
      <color theme="0"/>
      <name val="Pero"/>
      <family val="2"/>
    </font>
    <font>
      <sz val="8"/>
      <name val="Calibri"/>
      <family val="2"/>
      <scheme val="minor"/>
    </font>
    <font>
      <sz val="10"/>
      <color theme="1"/>
      <name val="Pero"/>
      <family val="2"/>
    </font>
    <font>
      <b/>
      <sz val="10"/>
      <color theme="1"/>
      <name val="Pero"/>
      <family val="2"/>
    </font>
    <font>
      <b/>
      <sz val="11"/>
      <color rgb="FF000000"/>
      <name val="Pero"/>
      <family val="2"/>
    </font>
    <font>
      <sz val="11"/>
      <color rgb="FF0000FF"/>
      <name val="Pero"/>
      <family val="2"/>
    </font>
    <font>
      <i/>
      <sz val="11"/>
      <color rgb="FF000000"/>
      <name val="Pero"/>
      <family val="2"/>
    </font>
    <font>
      <i/>
      <sz val="10"/>
      <color rgb="FF000000"/>
      <name val="Pero"/>
      <family val="2"/>
    </font>
    <font>
      <u/>
      <sz val="11"/>
      <color theme="10"/>
      <name val="Pero"/>
      <family val="2"/>
    </font>
    <font>
      <sz val="11"/>
      <name val="Pero"/>
      <family val="2"/>
    </font>
    <font>
      <sz val="11"/>
      <color rgb="FF3F3F76"/>
      <name val="Pero"/>
      <family val="2"/>
    </font>
    <font>
      <sz val="14"/>
      <color indexed="8"/>
      <name val="Pero ExtraBold"/>
      <family val="2"/>
    </font>
    <font>
      <sz val="11"/>
      <name val="Pero ExtraBold"/>
      <family val="2"/>
    </font>
    <font>
      <b/>
      <sz val="16"/>
      <color theme="1"/>
      <name val="Pero ExtraBold"/>
      <family val="2"/>
    </font>
    <font>
      <sz val="12"/>
      <color theme="1"/>
      <name val="Pero ExtraBold"/>
      <family val="2"/>
    </font>
    <font>
      <i/>
      <sz val="10"/>
      <color theme="1"/>
      <name val="Pero"/>
      <family val="2"/>
    </font>
    <font>
      <sz val="12"/>
      <color theme="1"/>
      <name val="Pero"/>
      <family val="2"/>
    </font>
    <font>
      <sz val="11"/>
      <color theme="2" tint="-0.249977111117893"/>
      <name val="Pero"/>
      <family val="2"/>
    </font>
  </fonts>
  <fills count="12">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rgb="FFC8AFBE"/>
        <bgColor indexed="64"/>
      </patternFill>
    </fill>
    <fill>
      <patternFill patternType="solid">
        <fgColor theme="0"/>
        <bgColor indexed="64"/>
      </patternFill>
    </fill>
    <fill>
      <patternFill patternType="solid">
        <fgColor rgb="FFDCA591"/>
        <bgColor indexed="64"/>
      </patternFill>
    </fill>
    <fill>
      <patternFill patternType="solid">
        <fgColor rgb="FFCDD2B4"/>
        <bgColor indexed="64"/>
      </patternFill>
    </fill>
    <fill>
      <patternFill patternType="solid">
        <fgColor rgb="FFDBA490"/>
        <bgColor indexed="64"/>
      </patternFill>
    </fill>
    <fill>
      <patternFill patternType="solid">
        <fgColor rgb="FFFFCC99"/>
      </patternFill>
    </fill>
    <fill>
      <patternFill patternType="solid">
        <fgColor rgb="FFFFF2CC"/>
        <bgColor indexed="64"/>
      </patternFill>
    </fill>
    <fill>
      <patternFill patternType="solid">
        <fgColor rgb="FFE7E6E6"/>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6">
    <xf numFmtId="0" fontId="0" fillId="0" borderId="0"/>
    <xf numFmtId="43" fontId="6" fillId="0" borderId="0" applyFont="0" applyFill="0" applyBorder="0" applyAlignment="0" applyProtection="0"/>
    <xf numFmtId="0" fontId="8" fillId="0" borderId="0" applyNumberFormat="0" applyFill="0" applyBorder="0" applyAlignment="0" applyProtection="0"/>
    <xf numFmtId="9" fontId="6" fillId="0" borderId="0" applyFont="0" applyFill="0" applyBorder="0" applyAlignment="0" applyProtection="0"/>
    <xf numFmtId="0" fontId="17" fillId="0" borderId="0"/>
    <xf numFmtId="0" fontId="37" fillId="9" borderId="36" applyNumberFormat="0" applyAlignment="0" applyProtection="0"/>
  </cellStyleXfs>
  <cellXfs count="446">
    <xf numFmtId="0" fontId="0" fillId="0" borderId="0" xfId="0"/>
    <xf numFmtId="0" fontId="7" fillId="0" borderId="0" xfId="0" applyFont="1"/>
    <xf numFmtId="0" fontId="9" fillId="0" borderId="0" xfId="0" applyFont="1"/>
    <xf numFmtId="0" fontId="11" fillId="4" borderId="3" xfId="0" applyFont="1" applyFill="1" applyBorder="1"/>
    <xf numFmtId="0" fontId="11" fillId="4" borderId="3" xfId="0" applyFont="1" applyFill="1" applyBorder="1" applyAlignment="1">
      <alignment horizontal="left"/>
    </xf>
    <xf numFmtId="0" fontId="0" fillId="0" borderId="1" xfId="0" applyBorder="1"/>
    <xf numFmtId="0" fontId="18" fillId="3" borderId="0" xfId="4" applyFont="1" applyFill="1" applyAlignment="1">
      <alignment horizontal="left"/>
    </xf>
    <xf numFmtId="0" fontId="0" fillId="0" borderId="0" xfId="0" applyAlignment="1">
      <alignment vertical="center"/>
    </xf>
    <xf numFmtId="0" fontId="0" fillId="0" borderId="0" xfId="0" applyAlignment="1">
      <alignment horizontal="left" vertical="center"/>
    </xf>
    <xf numFmtId="0" fontId="0" fillId="0" borderId="9" xfId="0" applyBorder="1"/>
    <xf numFmtId="0" fontId="0" fillId="0" borderId="7" xfId="0" applyBorder="1"/>
    <xf numFmtId="0" fontId="18" fillId="3" borderId="9" xfId="4" applyFont="1" applyFill="1" applyBorder="1" applyAlignment="1">
      <alignment horizontal="left"/>
    </xf>
    <xf numFmtId="0" fontId="18" fillId="3" borderId="7" xfId="4" applyFont="1" applyFill="1" applyBorder="1" applyAlignment="1">
      <alignment horizontal="left"/>
    </xf>
    <xf numFmtId="0" fontId="18" fillId="0" borderId="0" xfId="4" applyFont="1" applyAlignment="1">
      <alignment horizontal="left"/>
    </xf>
    <xf numFmtId="0" fontId="12" fillId="0" borderId="1" xfId="0" applyFont="1" applyBorder="1" applyAlignment="1">
      <alignment vertical="center"/>
    </xf>
    <xf numFmtId="0" fontId="15" fillId="0" borderId="9" xfId="0" applyFont="1" applyBorder="1" applyAlignment="1">
      <alignment vertical="center" wrapText="1"/>
    </xf>
    <xf numFmtId="166" fontId="14" fillId="5" borderId="1" xfId="0" applyNumberFormat="1" applyFont="1" applyFill="1" applyBorder="1" applyAlignment="1">
      <alignment vertical="center" wrapText="1"/>
    </xf>
    <xf numFmtId="0" fontId="0" fillId="5" borderId="21" xfId="0" applyFill="1" applyBorder="1" applyAlignment="1">
      <alignment horizontal="left" vertical="center"/>
    </xf>
    <xf numFmtId="0" fontId="0" fillId="5" borderId="22" xfId="0" applyFill="1" applyBorder="1" applyAlignment="1">
      <alignment horizontal="left" vertical="center"/>
    </xf>
    <xf numFmtId="0" fontId="0" fillId="5" borderId="22" xfId="0" applyFill="1" applyBorder="1" applyAlignment="1">
      <alignment wrapText="1"/>
    </xf>
    <xf numFmtId="0" fontId="0" fillId="5" borderId="22" xfId="0" applyFill="1" applyBorder="1"/>
    <xf numFmtId="0" fontId="0" fillId="5" borderId="23" xfId="0" applyFill="1" applyBorder="1"/>
    <xf numFmtId="0" fontId="18" fillId="5" borderId="24" xfId="4" applyFont="1" applyFill="1" applyBorder="1" applyAlignment="1">
      <alignment horizontal="left"/>
    </xf>
    <xf numFmtId="0" fontId="24" fillId="2" borderId="0" xfId="4" applyFont="1" applyFill="1" applyAlignment="1">
      <alignment horizontal="left" vertical="center"/>
    </xf>
    <xf numFmtId="0" fontId="0" fillId="5" borderId="0" xfId="0" applyFill="1"/>
    <xf numFmtId="0" fontId="0" fillId="5" borderId="25" xfId="0" applyFill="1" applyBorder="1"/>
    <xf numFmtId="0" fontId="0" fillId="5" borderId="24" xfId="0" applyFill="1" applyBorder="1" applyAlignment="1">
      <alignment horizontal="left" vertical="center"/>
    </xf>
    <xf numFmtId="0" fontId="0" fillId="5" borderId="0" xfId="0" applyFill="1" applyAlignment="1">
      <alignment horizontal="left" vertical="center"/>
    </xf>
    <xf numFmtId="0" fontId="0" fillId="5" borderId="0" xfId="0" applyFill="1" applyAlignment="1">
      <alignment wrapText="1"/>
    </xf>
    <xf numFmtId="0" fontId="18" fillId="3" borderId="24" xfId="4" applyFont="1" applyFill="1" applyBorder="1" applyAlignment="1">
      <alignment horizontal="left" vertical="center"/>
    </xf>
    <xf numFmtId="0" fontId="18" fillId="3" borderId="0" xfId="4" applyFont="1" applyFill="1" applyAlignment="1">
      <alignment horizontal="left" vertical="center"/>
    </xf>
    <xf numFmtId="0" fontId="18" fillId="3" borderId="0" xfId="4" applyFont="1" applyFill="1" applyAlignment="1">
      <alignment horizontal="left" wrapText="1"/>
    </xf>
    <xf numFmtId="0" fontId="0" fillId="3" borderId="0" xfId="0" applyFill="1"/>
    <xf numFmtId="0" fontId="0" fillId="3" borderId="25" xfId="0" applyFill="1" applyBorder="1"/>
    <xf numFmtId="0" fontId="18" fillId="5" borderId="0" xfId="4" applyFont="1" applyFill="1" applyAlignment="1">
      <alignment horizontal="left" vertical="center"/>
    </xf>
    <xf numFmtId="0" fontId="18" fillId="5" borderId="0" xfId="4" applyFont="1" applyFill="1" applyAlignment="1">
      <alignment horizontal="left" wrapText="1"/>
    </xf>
    <xf numFmtId="0" fontId="18" fillId="5" borderId="0" xfId="4" applyFont="1" applyFill="1" applyAlignment="1">
      <alignment horizontal="left"/>
    </xf>
    <xf numFmtId="0" fontId="22" fillId="5" borderId="26" xfId="4" applyFont="1" applyFill="1" applyBorder="1" applyAlignment="1">
      <alignment horizontal="left" vertical="center"/>
    </xf>
    <xf numFmtId="0" fontId="18" fillId="5" borderId="26" xfId="4" applyFont="1" applyFill="1" applyBorder="1" applyAlignment="1">
      <alignment horizontal="left"/>
    </xf>
    <xf numFmtId="0" fontId="9" fillId="5" borderId="26" xfId="0" applyFont="1" applyFill="1" applyBorder="1" applyAlignment="1">
      <alignment horizontal="left" vertical="center"/>
    </xf>
    <xf numFmtId="0" fontId="8" fillId="5" borderId="26" xfId="2" applyFill="1" applyBorder="1" applyAlignment="1">
      <alignment wrapText="1"/>
    </xf>
    <xf numFmtId="0" fontId="9" fillId="5" borderId="0" xfId="0" applyFont="1" applyFill="1" applyAlignment="1">
      <alignment horizontal="left" vertical="center"/>
    </xf>
    <xf numFmtId="0" fontId="18" fillId="3" borderId="25" xfId="4" applyFont="1" applyFill="1" applyBorder="1" applyAlignment="1">
      <alignment horizontal="left"/>
    </xf>
    <xf numFmtId="0" fontId="18" fillId="5" borderId="24" xfId="4" applyFont="1" applyFill="1" applyBorder="1" applyAlignment="1">
      <alignment horizontal="left" vertical="center"/>
    </xf>
    <xf numFmtId="0" fontId="16" fillId="5" borderId="24" xfId="0" applyFont="1" applyFill="1" applyBorder="1" applyAlignment="1">
      <alignment horizontal="left" vertical="center"/>
    </xf>
    <xf numFmtId="0" fontId="16" fillId="2" borderId="26" xfId="0" applyFont="1" applyFill="1" applyBorder="1" applyAlignment="1">
      <alignment horizontal="left" vertical="center"/>
    </xf>
    <xf numFmtId="0" fontId="9" fillId="5" borderId="24" xfId="0" applyFont="1" applyFill="1" applyBorder="1" applyAlignment="1">
      <alignment horizontal="left" vertical="center"/>
    </xf>
    <xf numFmtId="0" fontId="0" fillId="0" borderId="0" xfId="0" applyAlignment="1">
      <alignment wrapText="1"/>
    </xf>
    <xf numFmtId="0" fontId="21" fillId="5" borderId="24" xfId="0" applyFont="1" applyFill="1" applyBorder="1" applyAlignment="1">
      <alignment horizontal="left" vertical="center"/>
    </xf>
    <xf numFmtId="0" fontId="21" fillId="5" borderId="0" xfId="0" applyFont="1" applyFill="1" applyAlignment="1">
      <alignment horizontal="left" vertical="center"/>
    </xf>
    <xf numFmtId="0" fontId="0" fillId="5" borderId="0" xfId="0" applyFill="1" applyAlignment="1">
      <alignment horizontal="left"/>
    </xf>
    <xf numFmtId="173" fontId="0" fillId="0" borderId="0" xfId="0" applyNumberFormat="1"/>
    <xf numFmtId="0" fontId="0" fillId="5" borderId="24" xfId="0" applyFill="1" applyBorder="1" applyAlignment="1">
      <alignment horizontal="left"/>
    </xf>
    <xf numFmtId="0" fontId="16" fillId="5" borderId="1" xfId="0" applyFont="1" applyFill="1" applyBorder="1" applyAlignment="1">
      <alignment horizontal="left"/>
    </xf>
    <xf numFmtId="0" fontId="0" fillId="5" borderId="27" xfId="0" applyFill="1" applyBorder="1" applyAlignment="1">
      <alignment horizontal="left" vertical="center"/>
    </xf>
    <xf numFmtId="0" fontId="0" fillId="5" borderId="28" xfId="0" applyFill="1" applyBorder="1" applyAlignment="1">
      <alignment horizontal="left" vertical="center"/>
    </xf>
    <xf numFmtId="0" fontId="0" fillId="5" borderId="28" xfId="0" applyFill="1" applyBorder="1" applyAlignment="1">
      <alignment wrapText="1"/>
    </xf>
    <xf numFmtId="0" fontId="0" fillId="5" borderId="28" xfId="0" applyFill="1" applyBorder="1"/>
    <xf numFmtId="0" fontId="0" fillId="5" borderId="29" xfId="0" applyFill="1" applyBorder="1"/>
    <xf numFmtId="0" fontId="0" fillId="0" borderId="30" xfId="0" applyBorder="1"/>
    <xf numFmtId="0" fontId="0" fillId="0" borderId="5" xfId="0" applyBorder="1"/>
    <xf numFmtId="0" fontId="0" fillId="0" borderId="19" xfId="0" applyBorder="1"/>
    <xf numFmtId="0" fontId="20" fillId="0" borderId="9" xfId="4" applyFont="1" applyBorder="1"/>
    <xf numFmtId="170" fontId="19" fillId="3" borderId="0" xfId="4" applyNumberFormat="1" applyFont="1" applyFill="1" applyAlignment="1">
      <alignment horizontal="center" wrapText="1"/>
    </xf>
    <xf numFmtId="0" fontId="19" fillId="3" borderId="0" xfId="4" applyFont="1" applyFill="1"/>
    <xf numFmtId="170" fontId="19" fillId="3" borderId="0" xfId="4" applyNumberFormat="1" applyFont="1" applyFill="1" applyAlignment="1">
      <alignment horizontal="center"/>
    </xf>
    <xf numFmtId="165" fontId="9" fillId="0" borderId="0" xfId="0" applyNumberFormat="1" applyFont="1"/>
    <xf numFmtId="168" fontId="0" fillId="0" borderId="0" xfId="0" applyNumberFormat="1"/>
    <xf numFmtId="0" fontId="14" fillId="0" borderId="0" xfId="0" applyFont="1" applyAlignment="1">
      <alignment horizontal="left" vertical="center"/>
    </xf>
    <xf numFmtId="0" fontId="15" fillId="0" borderId="0" xfId="0" applyFont="1" applyAlignment="1">
      <alignment vertical="center" wrapText="1"/>
    </xf>
    <xf numFmtId="0" fontId="29" fillId="5" borderId="26" xfId="0" applyFont="1" applyFill="1" applyBorder="1" applyAlignment="1">
      <alignment wrapText="1"/>
    </xf>
    <xf numFmtId="0" fontId="9" fillId="5" borderId="26" xfId="0" applyFont="1" applyFill="1" applyBorder="1" applyAlignment="1">
      <alignment horizontal="left" vertical="center" wrapText="1"/>
    </xf>
    <xf numFmtId="0" fontId="12" fillId="0" borderId="0" xfId="0" applyFont="1" applyAlignment="1">
      <alignment horizontal="left" vertical="center" wrapText="1"/>
    </xf>
    <xf numFmtId="0" fontId="12" fillId="3" borderId="0" xfId="0" applyFont="1" applyFill="1" applyAlignment="1">
      <alignment horizontal="left" vertical="center" wrapText="1"/>
    </xf>
    <xf numFmtId="0" fontId="14" fillId="3" borderId="0" xfId="0" applyFont="1" applyFill="1" applyAlignment="1">
      <alignment horizontal="left" vertical="center"/>
    </xf>
    <xf numFmtId="0" fontId="18" fillId="0" borderId="7" xfId="4" applyFont="1" applyBorder="1" applyAlignment="1">
      <alignment horizontal="left"/>
    </xf>
    <xf numFmtId="175" fontId="0" fillId="0" borderId="0" xfId="0" applyNumberFormat="1"/>
    <xf numFmtId="0" fontId="9" fillId="0" borderId="6" xfId="0" applyFont="1" applyBorder="1"/>
    <xf numFmtId="0" fontId="12" fillId="0" borderId="0" xfId="0" applyFont="1" applyAlignment="1">
      <alignment horizontal="center" vertical="center"/>
    </xf>
    <xf numFmtId="4" fontId="0" fillId="0" borderId="0" xfId="0" applyNumberFormat="1"/>
    <xf numFmtId="176" fontId="0" fillId="0" borderId="0" xfId="0" applyNumberFormat="1"/>
    <xf numFmtId="5" fontId="0" fillId="0" borderId="0" xfId="0" applyNumberFormat="1" applyAlignment="1">
      <alignment horizontal="left"/>
    </xf>
    <xf numFmtId="5" fontId="0" fillId="5" borderId="0" xfId="0" applyNumberFormat="1" applyFill="1" applyAlignment="1">
      <alignment horizontal="left" wrapText="1"/>
    </xf>
    <xf numFmtId="174" fontId="16" fillId="5" borderId="1" xfId="0" applyNumberFormat="1" applyFont="1" applyFill="1" applyBorder="1" applyAlignment="1">
      <alignment horizontal="left"/>
    </xf>
    <xf numFmtId="174" fontId="0" fillId="5" borderId="0" xfId="0" applyNumberFormat="1" applyFill="1"/>
    <xf numFmtId="0" fontId="8" fillId="0" borderId="0" xfId="2" applyFill="1" applyBorder="1" applyAlignment="1">
      <alignment vertical="center"/>
    </xf>
    <xf numFmtId="0" fontId="11" fillId="4" borderId="1" xfId="0" applyFont="1" applyFill="1" applyBorder="1"/>
    <xf numFmtId="0" fontId="9" fillId="0" borderId="1" xfId="0" applyFont="1" applyBorder="1"/>
    <xf numFmtId="0" fontId="11" fillId="4" borderId="18" xfId="0" applyFont="1" applyFill="1" applyBorder="1"/>
    <xf numFmtId="0" fontId="11" fillId="4" borderId="5" xfId="0" applyFont="1" applyFill="1" applyBorder="1"/>
    <xf numFmtId="3" fontId="14" fillId="0" borderId="0" xfId="0" applyNumberFormat="1" applyFont="1" applyAlignment="1">
      <alignment horizontal="left" vertical="center"/>
    </xf>
    <xf numFmtId="9" fontId="0" fillId="0" borderId="0" xfId="0" applyNumberFormat="1" applyAlignment="1">
      <alignment horizontal="left"/>
    </xf>
    <xf numFmtId="9" fontId="0" fillId="5" borderId="0" xfId="0" applyNumberFormat="1" applyFill="1"/>
    <xf numFmtId="166" fontId="25" fillId="7" borderId="26" xfId="0" applyNumberFormat="1" applyFont="1" applyFill="1" applyBorder="1" applyAlignment="1">
      <alignment horizontal="left" wrapText="1"/>
    </xf>
    <xf numFmtId="0" fontId="23" fillId="0" borderId="15" xfId="0" applyFont="1" applyBorder="1" applyAlignment="1">
      <alignment horizontal="left" vertical="center"/>
    </xf>
    <xf numFmtId="0" fontId="23" fillId="0" borderId="16" xfId="0" applyFont="1" applyBorder="1" applyAlignment="1">
      <alignment horizontal="left" vertical="center"/>
    </xf>
    <xf numFmtId="0" fontId="23" fillId="0" borderId="17" xfId="0" applyFont="1" applyBorder="1" applyAlignment="1">
      <alignment horizontal="left" vertical="center"/>
    </xf>
    <xf numFmtId="0" fontId="35" fillId="0" borderId="0" xfId="2" applyFont="1" applyBorder="1" applyAlignment="1">
      <alignment horizontal="left" vertical="center"/>
    </xf>
    <xf numFmtId="0" fontId="18" fillId="3" borderId="20" xfId="4" applyFont="1" applyFill="1" applyBorder="1" applyAlignment="1">
      <alignment horizontal="left"/>
    </xf>
    <xf numFmtId="0" fontId="38" fillId="3" borderId="30" xfId="4" applyFont="1" applyFill="1" applyBorder="1" applyAlignment="1">
      <alignment horizontal="left"/>
    </xf>
    <xf numFmtId="0" fontId="18" fillId="3" borderId="30" xfId="4" applyFont="1" applyFill="1" applyBorder="1" applyAlignment="1">
      <alignment horizontal="left"/>
    </xf>
    <xf numFmtId="0" fontId="18" fillId="3" borderId="8" xfId="4" applyFont="1" applyFill="1" applyBorder="1" applyAlignment="1">
      <alignment horizontal="left"/>
    </xf>
    <xf numFmtId="0" fontId="38" fillId="3" borderId="0" xfId="4" applyFont="1" applyFill="1" applyAlignment="1">
      <alignment horizontal="left"/>
    </xf>
    <xf numFmtId="1" fontId="36" fillId="0" borderId="14" xfId="0" applyNumberFormat="1" applyFont="1" applyBorder="1" applyAlignment="1">
      <alignment horizontal="left" vertical="center"/>
    </xf>
    <xf numFmtId="1" fontId="36" fillId="0" borderId="11" xfId="0" applyNumberFormat="1" applyFont="1" applyBorder="1" applyAlignment="1">
      <alignment horizontal="center" vertical="center"/>
    </xf>
    <xf numFmtId="1" fontId="36" fillId="0" borderId="12" xfId="0" applyNumberFormat="1" applyFont="1" applyBorder="1" applyAlignment="1">
      <alignment horizontal="center" vertical="center"/>
    </xf>
    <xf numFmtId="0" fontId="10" fillId="4" borderId="3" xfId="0" applyFont="1" applyFill="1" applyBorder="1" applyAlignment="1">
      <alignment horizontal="center" vertical="center"/>
    </xf>
    <xf numFmtId="0" fontId="23" fillId="0" borderId="1" xfId="0" applyFont="1" applyBorder="1" applyAlignment="1">
      <alignment horizontal="left" vertical="center" indent="1"/>
    </xf>
    <xf numFmtId="9" fontId="36" fillId="3" borderId="1" xfId="0" applyNumberFormat="1" applyFont="1" applyFill="1" applyBorder="1" applyAlignment="1">
      <alignment horizontal="center" vertical="center"/>
    </xf>
    <xf numFmtId="0" fontId="23" fillId="0" borderId="0" xfId="0" applyFont="1" applyAlignment="1">
      <alignment horizontal="left" vertical="center" indent="1"/>
    </xf>
    <xf numFmtId="0" fontId="23" fillId="0" borderId="1" xfId="0" applyFont="1" applyBorder="1" applyAlignment="1">
      <alignment vertical="center"/>
    </xf>
    <xf numFmtId="0" fontId="35" fillId="0" borderId="1" xfId="2" applyFont="1" applyFill="1" applyBorder="1" applyAlignment="1">
      <alignment vertical="center"/>
    </xf>
    <xf numFmtId="0" fontId="35" fillId="0" borderId="1" xfId="2" applyFont="1" applyBorder="1" applyAlignment="1">
      <alignment horizontal="left" vertical="center"/>
    </xf>
    <xf numFmtId="167" fontId="36" fillId="3" borderId="1" xfId="0" applyNumberFormat="1" applyFont="1" applyFill="1" applyBorder="1" applyAlignment="1">
      <alignment horizontal="center" vertical="center"/>
    </xf>
    <xf numFmtId="3" fontId="36" fillId="3" borderId="1" xfId="0" applyNumberFormat="1" applyFont="1" applyFill="1" applyBorder="1" applyAlignment="1">
      <alignment horizontal="center" vertical="center"/>
    </xf>
    <xf numFmtId="167" fontId="36" fillId="6" borderId="1" xfId="0" applyNumberFormat="1" applyFont="1" applyFill="1" applyBorder="1" applyAlignment="1">
      <alignment horizontal="center" vertical="center"/>
    </xf>
    <xf numFmtId="9" fontId="36" fillId="6" borderId="1" xfId="0" applyNumberFormat="1" applyFont="1" applyFill="1" applyBorder="1" applyAlignment="1">
      <alignment horizontal="center" vertical="center"/>
    </xf>
    <xf numFmtId="9" fontId="36" fillId="8" borderId="1" xfId="0" applyNumberFormat="1" applyFont="1" applyFill="1" applyBorder="1" applyAlignment="1">
      <alignment horizontal="center" vertical="center"/>
    </xf>
    <xf numFmtId="0" fontId="8" fillId="0" borderId="1" xfId="2" applyFill="1" applyBorder="1" applyAlignment="1">
      <alignment vertical="center"/>
    </xf>
    <xf numFmtId="4" fontId="36" fillId="3" borderId="1" xfId="0" applyNumberFormat="1" applyFont="1" applyFill="1" applyBorder="1" applyAlignment="1">
      <alignment horizontal="center" vertical="center"/>
    </xf>
    <xf numFmtId="175" fontId="36" fillId="3" borderId="1" xfId="0" applyNumberFormat="1" applyFont="1" applyFill="1" applyBorder="1" applyAlignment="1">
      <alignment horizontal="center" vertical="center"/>
    </xf>
    <xf numFmtId="9" fontId="36" fillId="3" borderId="1" xfId="0" applyNumberFormat="1" applyFont="1" applyFill="1" applyBorder="1" applyAlignment="1">
      <alignment horizontal="center" vertical="center" wrapText="1"/>
    </xf>
    <xf numFmtId="3" fontId="36" fillId="3" borderId="1" xfId="0" applyNumberFormat="1" applyFont="1" applyFill="1" applyBorder="1" applyAlignment="1">
      <alignment horizontal="center" vertical="center" wrapText="1"/>
    </xf>
    <xf numFmtId="0" fontId="23" fillId="0" borderId="1" xfId="0" applyFont="1" applyBorder="1" applyAlignment="1">
      <alignment horizontal="left" vertical="center"/>
    </xf>
    <xf numFmtId="0" fontId="23" fillId="0" borderId="1" xfId="0" applyFont="1" applyBorder="1"/>
    <xf numFmtId="0" fontId="10" fillId="4" borderId="3" xfId="0" applyFont="1" applyFill="1" applyBorder="1" applyAlignment="1">
      <alignment horizontal="left" vertical="center"/>
    </xf>
    <xf numFmtId="0" fontId="23" fillId="0" borderId="6" xfId="0" applyFont="1" applyBorder="1" applyAlignment="1">
      <alignment horizontal="left" vertical="center" indent="1"/>
    </xf>
    <xf numFmtId="0" fontId="23" fillId="0" borderId="4" xfId="0" applyFont="1" applyBorder="1" applyAlignment="1">
      <alignment horizontal="left" vertical="center" indent="1"/>
    </xf>
    <xf numFmtId="0" fontId="23" fillId="0" borderId="13" xfId="0" applyFont="1" applyBorder="1" applyAlignment="1">
      <alignment horizontal="left" vertical="center" indent="1"/>
    </xf>
    <xf numFmtId="0" fontId="23" fillId="0" borderId="13" xfId="0" applyFont="1" applyBorder="1" applyAlignment="1">
      <alignment horizontal="left" vertical="center"/>
    </xf>
    <xf numFmtId="0" fontId="23" fillId="0" borderId="4" xfId="0" applyFont="1" applyBorder="1" applyAlignment="1">
      <alignment horizontal="left" vertical="center"/>
    </xf>
    <xf numFmtId="0" fontId="23" fillId="0" borderId="6" xfId="0" applyFont="1" applyBorder="1" applyAlignment="1">
      <alignment horizontal="center" vertical="center"/>
    </xf>
    <xf numFmtId="175" fontId="36" fillId="3" borderId="1" xfId="3" applyNumberFormat="1" applyFont="1" applyFill="1" applyBorder="1" applyAlignment="1">
      <alignment horizontal="center" vertical="center"/>
    </xf>
    <xf numFmtId="1" fontId="36" fillId="3" borderId="4" xfId="0" applyNumberFormat="1" applyFont="1" applyFill="1" applyBorder="1" applyAlignment="1">
      <alignment horizontal="center" vertical="center"/>
    </xf>
    <xf numFmtId="175" fontId="36" fillId="0" borderId="1" xfId="3" applyNumberFormat="1" applyFont="1" applyFill="1" applyBorder="1" applyAlignment="1">
      <alignment horizontal="center" vertical="center"/>
    </xf>
    <xf numFmtId="3" fontId="23" fillId="0" borderId="1" xfId="0" applyNumberFormat="1" applyFont="1" applyBorder="1" applyAlignment="1">
      <alignment horizontal="center" vertical="center"/>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23" fillId="0" borderId="1" xfId="4" applyFont="1" applyBorder="1" applyAlignment="1">
      <alignment horizontal="left" vertical="center" indent="1"/>
    </xf>
    <xf numFmtId="166" fontId="32" fillId="0" borderId="1" xfId="0" applyNumberFormat="1" applyFont="1" applyBorder="1" applyAlignment="1">
      <alignment horizontal="center" vertical="center"/>
    </xf>
    <xf numFmtId="166" fontId="36" fillId="6" borderId="1" xfId="0" applyNumberFormat="1" applyFont="1" applyFill="1" applyBorder="1" applyAlignment="1">
      <alignment horizontal="center" vertical="center"/>
    </xf>
    <xf numFmtId="167" fontId="36" fillId="0" borderId="1" xfId="4" applyNumberFormat="1" applyFont="1" applyBorder="1" applyAlignment="1">
      <alignment horizontal="left" vertical="center"/>
    </xf>
    <xf numFmtId="0" fontId="23" fillId="0" borderId="1" xfId="0" applyFont="1" applyBorder="1" applyAlignment="1">
      <alignment horizontal="right" vertical="center"/>
    </xf>
    <xf numFmtId="166" fontId="36" fillId="3" borderId="1" xfId="4" applyNumberFormat="1" applyFont="1" applyFill="1" applyBorder="1" applyAlignment="1">
      <alignment horizontal="center" vertical="center"/>
    </xf>
    <xf numFmtId="166" fontId="36" fillId="3" borderId="1" xfId="0" applyNumberFormat="1" applyFont="1" applyFill="1" applyBorder="1" applyAlignment="1">
      <alignment horizontal="center" vertical="center"/>
    </xf>
    <xf numFmtId="0" fontId="23" fillId="0" borderId="0" xfId="4" applyFont="1" applyAlignment="1">
      <alignment horizontal="left" vertical="center" indent="1"/>
    </xf>
    <xf numFmtId="167" fontId="36" fillId="0" borderId="0" xfId="4" applyNumberFormat="1" applyFont="1" applyAlignment="1">
      <alignment horizontal="left" vertical="center"/>
    </xf>
    <xf numFmtId="166" fontId="32" fillId="0" borderId="0" xfId="0" applyNumberFormat="1" applyFont="1" applyAlignment="1">
      <alignment horizontal="center" vertical="center"/>
    </xf>
    <xf numFmtId="0" fontId="35" fillId="0" borderId="1" xfId="2" applyFont="1" applyBorder="1"/>
    <xf numFmtId="177" fontId="36" fillId="3" borderId="1" xfId="0" applyNumberFormat="1" applyFont="1" applyFill="1" applyBorder="1" applyAlignment="1">
      <alignment horizontal="center" vertical="center"/>
    </xf>
    <xf numFmtId="0" fontId="31" fillId="0" borderId="0" xfId="0" applyFont="1" applyAlignment="1">
      <alignment horizontal="left" vertical="center"/>
    </xf>
    <xf numFmtId="0" fontId="0" fillId="3" borderId="0" xfId="0" applyFill="1" applyAlignment="1">
      <alignment vertical="center"/>
    </xf>
    <xf numFmtId="0" fontId="31" fillId="0" borderId="0" xfId="0" applyFont="1"/>
    <xf numFmtId="169" fontId="33" fillId="0" borderId="0" xfId="0" applyNumberFormat="1" applyFont="1" applyAlignment="1">
      <alignment horizontal="right"/>
    </xf>
    <xf numFmtId="0" fontId="23" fillId="0" borderId="7" xfId="0" applyFont="1" applyBorder="1" applyAlignment="1">
      <alignment horizontal="left" vertical="center"/>
    </xf>
    <xf numFmtId="9" fontId="32" fillId="0" borderId="0" xfId="0" applyNumberFormat="1" applyFont="1" applyAlignment="1">
      <alignment horizontal="center" vertical="center"/>
    </xf>
    <xf numFmtId="0" fontId="23" fillId="0" borderId="7" xfId="0" applyFont="1" applyBorder="1" applyAlignment="1">
      <alignment horizontal="right" vertical="center"/>
    </xf>
    <xf numFmtId="0" fontId="34" fillId="0" borderId="5" xfId="0" applyFont="1" applyBorder="1"/>
    <xf numFmtId="0" fontId="23" fillId="0" borderId="5" xfId="4" applyFont="1" applyBorder="1" applyAlignment="1">
      <alignment horizontal="left" vertical="center" indent="1"/>
    </xf>
    <xf numFmtId="0" fontId="35" fillId="0" borderId="5" xfId="2" applyFont="1" applyBorder="1" applyAlignment="1">
      <alignment horizontal="left" vertical="center"/>
    </xf>
    <xf numFmtId="0" fontId="13" fillId="3" borderId="0" xfId="4" applyFont="1" applyFill="1" applyAlignment="1">
      <alignment horizontal="left"/>
    </xf>
    <xf numFmtId="0" fontId="23" fillId="0" borderId="13" xfId="0" applyFont="1" applyBorder="1" applyAlignment="1">
      <alignment horizontal="center" vertical="center" wrapText="1"/>
    </xf>
    <xf numFmtId="0" fontId="23" fillId="3" borderId="6" xfId="0" applyFont="1" applyFill="1" applyBorder="1" applyAlignment="1">
      <alignment horizontal="center" vertical="center" wrapText="1"/>
    </xf>
    <xf numFmtId="0" fontId="23" fillId="0" borderId="6" xfId="0" applyFont="1" applyBorder="1" applyAlignment="1">
      <alignment horizontal="center" vertical="center" wrapText="1"/>
    </xf>
    <xf numFmtId="0" fontId="23" fillId="0" borderId="6" xfId="0" quotePrefix="1" applyFont="1" applyBorder="1" applyAlignment="1">
      <alignment horizontal="center" vertical="center" wrapText="1"/>
    </xf>
    <xf numFmtId="175" fontId="23" fillId="0" borderId="6" xfId="0" applyNumberFormat="1" applyFont="1" applyBorder="1" applyAlignment="1">
      <alignment horizontal="center" vertical="center" wrapText="1"/>
    </xf>
    <xf numFmtId="0" fontId="15" fillId="0" borderId="0" xfId="0" applyFont="1"/>
    <xf numFmtId="0" fontId="13" fillId="0" borderId="0" xfId="4" applyFont="1" applyAlignment="1">
      <alignment horizontal="left"/>
    </xf>
    <xf numFmtId="170" fontId="19" fillId="0" borderId="0" xfId="4" applyNumberFormat="1" applyFont="1" applyAlignment="1">
      <alignment horizontal="center" wrapText="1"/>
    </xf>
    <xf numFmtId="0" fontId="19" fillId="0" borderId="0" xfId="4" applyFont="1"/>
    <xf numFmtId="170" fontId="19" fillId="0" borderId="0" xfId="4" applyNumberFormat="1" applyFont="1" applyAlignment="1">
      <alignment horizontal="center"/>
    </xf>
    <xf numFmtId="0" fontId="40" fillId="0" borderId="0" xfId="0" applyFont="1"/>
    <xf numFmtId="175" fontId="9" fillId="0" borderId="1" xfId="0" applyNumberFormat="1" applyFont="1" applyBorder="1" applyAlignment="1">
      <alignment horizontal="center" vertical="center"/>
    </xf>
    <xf numFmtId="0" fontId="11" fillId="4" borderId="3" xfId="0" applyFont="1" applyFill="1" applyBorder="1" applyAlignment="1">
      <alignment horizontal="center"/>
    </xf>
    <xf numFmtId="165" fontId="10" fillId="11" borderId="31" xfId="0" applyNumberFormat="1" applyFont="1" applyFill="1" applyBorder="1" applyAlignment="1">
      <alignment horizontal="center" vertical="center"/>
    </xf>
    <xf numFmtId="165" fontId="10" fillId="11" borderId="3" xfId="0" applyNumberFormat="1" applyFont="1" applyFill="1" applyBorder="1" applyAlignment="1">
      <alignment horizontal="center" vertical="center"/>
    </xf>
    <xf numFmtId="0" fontId="41" fillId="4" borderId="3" xfId="0" applyFont="1" applyFill="1" applyBorder="1" applyAlignment="1">
      <alignment horizontal="center" vertical="center"/>
    </xf>
    <xf numFmtId="175" fontId="9" fillId="11" borderId="6" xfId="0" applyNumberFormat="1" applyFont="1" applyFill="1" applyBorder="1" applyAlignment="1">
      <alignment horizontal="center"/>
    </xf>
    <xf numFmtId="0" fontId="26" fillId="4" borderId="1" xfId="0" applyFont="1" applyFill="1" applyBorder="1" applyAlignment="1">
      <alignment horizontal="center" vertical="center"/>
    </xf>
    <xf numFmtId="0" fontId="18" fillId="0" borderId="5" xfId="4" applyFont="1" applyBorder="1" applyAlignment="1">
      <alignment horizontal="left"/>
    </xf>
    <xf numFmtId="0" fontId="18" fillId="10" borderId="30" xfId="4" applyFont="1" applyFill="1" applyBorder="1" applyAlignment="1">
      <alignment horizontal="left"/>
    </xf>
    <xf numFmtId="0" fontId="9" fillId="4" borderId="1" xfId="0" applyFont="1" applyFill="1" applyBorder="1" applyAlignment="1">
      <alignment horizontal="center"/>
    </xf>
    <xf numFmtId="0" fontId="9" fillId="4" borderId="1" xfId="0" applyFont="1" applyFill="1" applyBorder="1" applyAlignment="1">
      <alignment horizontal="left"/>
    </xf>
    <xf numFmtId="9" fontId="36" fillId="3" borderId="1" xfId="0" applyNumberFormat="1" applyFont="1" applyFill="1" applyBorder="1" applyAlignment="1">
      <alignment horizontal="center"/>
    </xf>
    <xf numFmtId="0" fontId="36" fillId="0" borderId="1" xfId="0" applyFont="1" applyBorder="1"/>
    <xf numFmtId="170" fontId="20" fillId="0" borderId="1" xfId="4" applyNumberFormat="1" applyFont="1" applyBorder="1" applyAlignment="1">
      <alignment horizontal="left" wrapText="1"/>
    </xf>
    <xf numFmtId="9" fontId="36" fillId="0" borderId="1" xfId="4" applyNumberFormat="1" applyFont="1" applyBorder="1" applyAlignment="1">
      <alignment horizontal="center"/>
    </xf>
    <xf numFmtId="0" fontId="20" fillId="0" borderId="1" xfId="4" applyFont="1" applyBorder="1" applyAlignment="1">
      <alignment horizontal="left"/>
    </xf>
    <xf numFmtId="9" fontId="36" fillId="3" borderId="1" xfId="4" applyNumberFormat="1" applyFont="1" applyFill="1" applyBorder="1" applyAlignment="1">
      <alignment horizontal="center"/>
    </xf>
    <xf numFmtId="0" fontId="12" fillId="0" borderId="30" xfId="0" applyFont="1" applyBorder="1" applyAlignment="1">
      <alignment horizontal="center" vertical="center"/>
    </xf>
    <xf numFmtId="0" fontId="0" fillId="0" borderId="34" xfId="0" applyBorder="1"/>
    <xf numFmtId="0" fontId="13" fillId="3" borderId="0" xfId="4" applyFont="1" applyFill="1" applyAlignment="1">
      <alignment horizontal="left" vertical="center"/>
    </xf>
    <xf numFmtId="0" fontId="43" fillId="0" borderId="1" xfId="0" applyFont="1" applyBorder="1" applyAlignment="1">
      <alignment vertical="center"/>
    </xf>
    <xf numFmtId="168" fontId="43" fillId="0" borderId="1" xfId="0" applyNumberFormat="1" applyFont="1" applyBorder="1" applyAlignment="1">
      <alignment vertical="center"/>
    </xf>
    <xf numFmtId="168" fontId="41" fillId="0" borderId="1" xfId="0" applyNumberFormat="1" applyFont="1" applyBorder="1" applyAlignment="1">
      <alignment vertical="center"/>
    </xf>
    <xf numFmtId="0" fontId="41" fillId="0" borderId="1" xfId="0" applyFont="1" applyBorder="1" applyAlignment="1">
      <alignment vertical="center"/>
    </xf>
    <xf numFmtId="9" fontId="41" fillId="0" borderId="1" xfId="0" applyNumberFormat="1" applyFont="1" applyBorder="1" applyAlignment="1">
      <alignment vertical="center"/>
    </xf>
    <xf numFmtId="0" fontId="18" fillId="0" borderId="9" xfId="4" applyFont="1" applyBorder="1" applyAlignment="1">
      <alignment horizontal="left"/>
    </xf>
    <xf numFmtId="0" fontId="11" fillId="0" borderId="0" xfId="0" applyFont="1" applyAlignment="1">
      <alignment horizontal="right"/>
    </xf>
    <xf numFmtId="3" fontId="10" fillId="0" borderId="0" xfId="0" applyNumberFormat="1" applyFont="1"/>
    <xf numFmtId="164" fontId="10" fillId="0" borderId="0" xfId="0" applyNumberFormat="1" applyFont="1"/>
    <xf numFmtId="0" fontId="12" fillId="0" borderId="9" xfId="0" applyFont="1" applyBorder="1" applyAlignment="1">
      <alignment horizontal="left" vertical="center" wrapText="1"/>
    </xf>
    <xf numFmtId="175" fontId="0" fillId="0" borderId="9" xfId="0" applyNumberFormat="1" applyBorder="1"/>
    <xf numFmtId="9" fontId="9" fillId="0" borderId="0" xfId="0" applyNumberFormat="1" applyFont="1"/>
    <xf numFmtId="166" fontId="9" fillId="0" borderId="0" xfId="0" applyNumberFormat="1" applyFont="1"/>
    <xf numFmtId="0" fontId="36" fillId="0" borderId="0" xfId="0" applyFont="1"/>
    <xf numFmtId="0" fontId="23" fillId="0" borderId="3" xfId="0" applyFont="1" applyBorder="1" applyAlignment="1">
      <alignment vertical="center" wrapText="1"/>
    </xf>
    <xf numFmtId="0" fontId="23" fillId="0" borderId="31" xfId="0" applyFont="1" applyBorder="1" applyAlignment="1">
      <alignment vertical="center"/>
    </xf>
    <xf numFmtId="170" fontId="19" fillId="3" borderId="30" xfId="4" applyNumberFormat="1" applyFont="1" applyFill="1" applyBorder="1" applyAlignment="1">
      <alignment horizontal="center" wrapText="1"/>
    </xf>
    <xf numFmtId="0" fontId="19" fillId="3" borderId="30" xfId="4" applyFont="1" applyFill="1" applyBorder="1"/>
    <xf numFmtId="170" fontId="19" fillId="3" borderId="30" xfId="4" applyNumberFormat="1" applyFont="1" applyFill="1" applyBorder="1" applyAlignment="1">
      <alignment horizontal="center"/>
    </xf>
    <xf numFmtId="0" fontId="42" fillId="0" borderId="0" xfId="0" applyFont="1"/>
    <xf numFmtId="2" fontId="18" fillId="0" borderId="0" xfId="4" applyNumberFormat="1" applyFont="1"/>
    <xf numFmtId="9" fontId="0" fillId="0" borderId="0" xfId="0" applyNumberFormat="1"/>
    <xf numFmtId="166" fontId="27" fillId="0" borderId="0" xfId="0" applyNumberFormat="1" applyFont="1"/>
    <xf numFmtId="166" fontId="9" fillId="7" borderId="0" xfId="0" applyNumberFormat="1" applyFont="1" applyFill="1"/>
    <xf numFmtId="0" fontId="35" fillId="5" borderId="26" xfId="2" applyFont="1" applyFill="1" applyBorder="1" applyAlignment="1">
      <alignment wrapText="1"/>
    </xf>
    <xf numFmtId="0" fontId="35" fillId="5" borderId="26" xfId="2" applyFont="1" applyFill="1" applyBorder="1"/>
    <xf numFmtId="0" fontId="9" fillId="5" borderId="1" xfId="0" applyFont="1" applyFill="1" applyBorder="1" applyAlignment="1">
      <alignment horizontal="left" vertical="center" wrapText="1"/>
    </xf>
    <xf numFmtId="0" fontId="9" fillId="5" borderId="1" xfId="0" applyFont="1" applyFill="1" applyBorder="1" applyAlignment="1">
      <alignment horizontal="left" vertical="center"/>
    </xf>
    <xf numFmtId="0" fontId="5" fillId="3" borderId="0" xfId="0" applyFont="1" applyFill="1"/>
    <xf numFmtId="0" fontId="5" fillId="5" borderId="24" xfId="0" applyFont="1" applyFill="1" applyBorder="1"/>
    <xf numFmtId="0" fontId="5" fillId="5" borderId="0" xfId="0" applyFont="1" applyFill="1"/>
    <xf numFmtId="0" fontId="5" fillId="5" borderId="26" xfId="0" applyFont="1" applyFill="1" applyBorder="1" applyAlignment="1">
      <alignment wrapText="1"/>
    </xf>
    <xf numFmtId="0" fontId="5" fillId="5" borderId="26" xfId="0" applyFont="1" applyFill="1" applyBorder="1"/>
    <xf numFmtId="0" fontId="5" fillId="5" borderId="26" xfId="0" quotePrefix="1" applyFont="1" applyFill="1" applyBorder="1" applyAlignment="1">
      <alignment wrapText="1"/>
    </xf>
    <xf numFmtId="172" fontId="5" fillId="5" borderId="1" xfId="1" applyNumberFormat="1" applyFont="1" applyFill="1" applyBorder="1" applyAlignment="1">
      <alignment horizontal="left" vertical="center" wrapText="1"/>
    </xf>
    <xf numFmtId="174" fontId="5" fillId="5" borderId="26" xfId="0" applyNumberFormat="1" applyFont="1" applyFill="1" applyBorder="1" applyAlignment="1">
      <alignment horizontal="left" vertical="center" wrapText="1"/>
    </xf>
    <xf numFmtId="172" fontId="5" fillId="5" borderId="1" xfId="1" applyNumberFormat="1" applyFont="1" applyFill="1" applyBorder="1" applyAlignment="1">
      <alignment horizontal="left" vertical="center"/>
    </xf>
    <xf numFmtId="17" fontId="5" fillId="5" borderId="26" xfId="0" applyNumberFormat="1" applyFont="1" applyFill="1" applyBorder="1" applyAlignment="1">
      <alignment horizontal="left" wrapText="1"/>
    </xf>
    <xf numFmtId="0" fontId="5" fillId="5" borderId="0" xfId="0" applyFont="1" applyFill="1" applyAlignment="1">
      <alignment wrapText="1"/>
    </xf>
    <xf numFmtId="0" fontId="5" fillId="5" borderId="1" xfId="0" applyFont="1" applyFill="1" applyBorder="1" applyAlignment="1">
      <alignment vertical="center" wrapText="1"/>
    </xf>
    <xf numFmtId="166" fontId="5" fillId="5" borderId="1" xfId="0" applyNumberFormat="1" applyFont="1" applyFill="1" applyBorder="1" applyAlignment="1">
      <alignment horizontal="left" wrapText="1"/>
    </xf>
    <xf numFmtId="0" fontId="5" fillId="5" borderId="24" xfId="0" applyFont="1" applyFill="1" applyBorder="1" applyAlignment="1">
      <alignment horizontal="left" vertical="center"/>
    </xf>
    <xf numFmtId="0" fontId="5" fillId="5" borderId="0" xfId="0" applyFont="1" applyFill="1" applyAlignment="1">
      <alignment horizontal="left" vertical="center"/>
    </xf>
    <xf numFmtId="0" fontId="23" fillId="3" borderId="0" xfId="4" applyFont="1" applyFill="1" applyAlignment="1">
      <alignment horizontal="left" vertical="center"/>
    </xf>
    <xf numFmtId="0" fontId="23" fillId="3" borderId="0" xfId="0" applyFont="1" applyFill="1" applyAlignment="1">
      <alignment horizontal="left" vertical="center"/>
    </xf>
    <xf numFmtId="0" fontId="23" fillId="3" borderId="7" xfId="0" applyFont="1" applyFill="1" applyBorder="1" applyAlignment="1">
      <alignment horizontal="left" vertical="center"/>
    </xf>
    <xf numFmtId="0" fontId="23" fillId="0" borderId="0" xfId="0" applyFont="1"/>
    <xf numFmtId="0" fontId="23" fillId="0" borderId="7" xfId="0" applyFont="1" applyBorder="1"/>
    <xf numFmtId="0" fontId="23" fillId="0" borderId="0" xfId="4" applyFont="1"/>
    <xf numFmtId="0" fontId="23" fillId="0" borderId="0" xfId="4" applyFont="1" applyAlignment="1">
      <alignment horizontal="left"/>
    </xf>
    <xf numFmtId="170" fontId="23" fillId="0" borderId="0" xfId="4" applyNumberFormat="1" applyFont="1" applyAlignment="1">
      <alignment horizontal="center"/>
    </xf>
    <xf numFmtId="0" fontId="23" fillId="0" borderId="0" xfId="0" applyFont="1" applyAlignment="1">
      <alignment horizontal="left"/>
    </xf>
    <xf numFmtId="175" fontId="23" fillId="0" borderId="1" xfId="1" applyNumberFormat="1" applyFont="1" applyFill="1" applyBorder="1" applyAlignment="1">
      <alignment horizontal="center" vertical="center"/>
    </xf>
    <xf numFmtId="0" fontId="23" fillId="0" borderId="1" xfId="0" applyFont="1" applyBorder="1" applyAlignment="1">
      <alignment horizontal="left"/>
    </xf>
    <xf numFmtId="175" fontId="23" fillId="0" borderId="0" xfId="1" applyNumberFormat="1" applyFont="1" applyFill="1" applyBorder="1" applyAlignment="1">
      <alignment horizontal="center" vertical="center"/>
    </xf>
    <xf numFmtId="0" fontId="23" fillId="0" borderId="0" xfId="0" applyFont="1" applyAlignment="1">
      <alignment vertical="center"/>
    </xf>
    <xf numFmtId="9" fontId="23" fillId="0" borderId="0" xfId="1" applyNumberFormat="1" applyFont="1" applyFill="1" applyBorder="1" applyAlignment="1"/>
    <xf numFmtId="0" fontId="23" fillId="0" borderId="1" xfId="0" quotePrefix="1" applyFont="1" applyBorder="1" applyAlignment="1">
      <alignment vertical="center"/>
    </xf>
    <xf numFmtId="175" fontId="23" fillId="0" borderId="0" xfId="0" applyNumberFormat="1" applyFont="1" applyAlignment="1">
      <alignment vertical="center"/>
    </xf>
    <xf numFmtId="175" fontId="23" fillId="0" borderId="0" xfId="1" applyNumberFormat="1" applyFont="1" applyFill="1" applyBorder="1" applyAlignment="1"/>
    <xf numFmtId="0" fontId="23" fillId="0" borderId="0" xfId="0" applyFont="1" applyAlignment="1">
      <alignment horizontal="left" vertical="center" wrapText="1"/>
    </xf>
    <xf numFmtId="9" fontId="23" fillId="0" borderId="0" xfId="0" applyNumberFormat="1" applyFont="1" applyAlignment="1">
      <alignment horizontal="right" vertical="center"/>
    </xf>
    <xf numFmtId="175" fontId="23" fillId="0" borderId="0" xfId="0" applyNumberFormat="1" applyFont="1" applyAlignment="1">
      <alignment horizontal="left" vertical="center" wrapText="1"/>
    </xf>
    <xf numFmtId="0" fontId="23" fillId="0" borderId="0" xfId="0" applyFont="1" applyAlignment="1">
      <alignment horizontal="left" vertical="center"/>
    </xf>
    <xf numFmtId="0" fontId="23" fillId="0" borderId="0" xfId="0" applyFont="1" applyAlignment="1">
      <alignment wrapText="1"/>
    </xf>
    <xf numFmtId="3" fontId="23" fillId="0" borderId="0" xfId="0" applyNumberFormat="1" applyFont="1" applyAlignment="1">
      <alignment vertical="center"/>
    </xf>
    <xf numFmtId="0" fontId="31" fillId="0" borderId="0" xfId="0" applyFont="1" applyAlignment="1">
      <alignment horizontal="left" vertical="center" wrapText="1"/>
    </xf>
    <xf numFmtId="175" fontId="23" fillId="8" borderId="1" xfId="0" applyNumberFormat="1" applyFont="1" applyFill="1" applyBorder="1" applyAlignment="1">
      <alignment horizontal="center" vertical="center"/>
    </xf>
    <xf numFmtId="175" fontId="23" fillId="0" borderId="4" xfId="3" applyNumberFormat="1" applyFont="1" applyFill="1" applyBorder="1" applyAlignment="1">
      <alignment horizontal="center" vertical="center"/>
    </xf>
    <xf numFmtId="175" fontId="23" fillId="8" borderId="4" xfId="3" applyNumberFormat="1" applyFont="1" applyFill="1" applyBorder="1" applyAlignment="1">
      <alignment horizontal="center" vertical="center"/>
    </xf>
    <xf numFmtId="1" fontId="23" fillId="0" borderId="13" xfId="0" applyNumberFormat="1" applyFont="1" applyBorder="1" applyAlignment="1">
      <alignment horizontal="center" vertical="center"/>
    </xf>
    <xf numFmtId="1" fontId="23" fillId="0" borderId="13" xfId="3" applyNumberFormat="1" applyFont="1" applyFill="1" applyBorder="1" applyAlignment="1">
      <alignment horizontal="center" vertical="center"/>
    </xf>
    <xf numFmtId="1" fontId="23" fillId="8" borderId="13" xfId="3" applyNumberFormat="1" applyFont="1" applyFill="1" applyBorder="1" applyAlignment="1">
      <alignment horizontal="center" vertical="center"/>
    </xf>
    <xf numFmtId="1" fontId="23" fillId="0" borderId="4" xfId="0" applyNumberFormat="1" applyFont="1" applyBorder="1" applyAlignment="1">
      <alignment horizontal="center" vertical="center"/>
    </xf>
    <xf numFmtId="1" fontId="23" fillId="3" borderId="4" xfId="0" applyNumberFormat="1" applyFont="1" applyFill="1" applyBorder="1" applyAlignment="1">
      <alignment horizontal="center" vertical="center"/>
    </xf>
    <xf numFmtId="1" fontId="23" fillId="8" borderId="4" xfId="0" applyNumberFormat="1" applyFont="1" applyFill="1" applyBorder="1" applyAlignment="1">
      <alignment horizontal="center" vertical="center"/>
    </xf>
    <xf numFmtId="1" fontId="23" fillId="8" borderId="13" xfId="0" applyNumberFormat="1" applyFont="1" applyFill="1" applyBorder="1" applyAlignment="1">
      <alignment horizontal="center" vertical="center"/>
    </xf>
    <xf numFmtId="175" fontId="23" fillId="0" borderId="6" xfId="0" applyNumberFormat="1" applyFont="1" applyBorder="1" applyAlignment="1">
      <alignment horizontal="center" vertical="center"/>
    </xf>
    <xf numFmtId="175" fontId="23" fillId="8" borderId="6" xfId="0" applyNumberFormat="1" applyFont="1" applyFill="1" applyBorder="1" applyAlignment="1">
      <alignment horizontal="center" vertical="center"/>
    </xf>
    <xf numFmtId="175" fontId="23" fillId="0" borderId="1" xfId="0" applyNumberFormat="1" applyFont="1" applyBorder="1" applyAlignment="1">
      <alignment horizontal="center" vertical="center"/>
    </xf>
    <xf numFmtId="175" fontId="23" fillId="0" borderId="0" xfId="0" applyNumberFormat="1" applyFont="1" applyAlignment="1">
      <alignment horizontal="center" vertical="center"/>
    </xf>
    <xf numFmtId="175" fontId="23" fillId="0" borderId="7" xfId="0" applyNumberFormat="1" applyFont="1" applyBorder="1" applyAlignment="1">
      <alignment horizontal="center" vertical="center"/>
    </xf>
    <xf numFmtId="175" fontId="32" fillId="0" borderId="0" xfId="0" applyNumberFormat="1" applyFont="1" applyAlignment="1">
      <alignment horizontal="center" vertical="center"/>
    </xf>
    <xf numFmtId="175" fontId="32" fillId="0" borderId="1" xfId="3" applyNumberFormat="1" applyFont="1" applyFill="1" applyBorder="1" applyAlignment="1">
      <alignment horizontal="center" vertical="center"/>
    </xf>
    <xf numFmtId="3" fontId="23" fillId="0" borderId="1" xfId="0" applyNumberFormat="1" applyFont="1" applyBorder="1" applyAlignment="1">
      <alignment horizontal="center"/>
    </xf>
    <xf numFmtId="0" fontId="23" fillId="0" borderId="1" xfId="0" applyFont="1" applyBorder="1" applyAlignment="1">
      <alignment vertical="center" wrapText="1"/>
    </xf>
    <xf numFmtId="0" fontId="23" fillId="0" borderId="0" xfId="4" applyFont="1" applyAlignment="1">
      <alignment horizontal="left" vertical="center"/>
    </xf>
    <xf numFmtId="177" fontId="23" fillId="0" borderId="1" xfId="0" applyNumberFormat="1" applyFont="1" applyBorder="1" applyAlignment="1">
      <alignment horizontal="center"/>
    </xf>
    <xf numFmtId="177" fontId="23" fillId="0" borderId="1" xfId="0" applyNumberFormat="1" applyFont="1" applyBorder="1"/>
    <xf numFmtId="4" fontId="32" fillId="0" borderId="0" xfId="0" applyNumberFormat="1" applyFont="1" applyAlignment="1">
      <alignment horizontal="center" vertical="center"/>
    </xf>
    <xf numFmtId="177" fontId="23" fillId="0" borderId="0" xfId="0" applyNumberFormat="1" applyFont="1"/>
    <xf numFmtId="0" fontId="23" fillId="0" borderId="5" xfId="0" applyFont="1" applyBorder="1"/>
    <xf numFmtId="4" fontId="32" fillId="0" borderId="5" xfId="0" applyNumberFormat="1" applyFont="1" applyBorder="1" applyAlignment="1">
      <alignment horizontal="center" vertical="center"/>
    </xf>
    <xf numFmtId="177" fontId="23" fillId="0" borderId="5" xfId="0" applyNumberFormat="1" applyFont="1" applyBorder="1"/>
    <xf numFmtId="0" fontId="23" fillId="0" borderId="19" xfId="0" applyFont="1" applyBorder="1"/>
    <xf numFmtId="166" fontId="23" fillId="0" borderId="0" xfId="0" quotePrefix="1" applyNumberFormat="1" applyFont="1" applyAlignment="1">
      <alignment vertical="center"/>
    </xf>
    <xf numFmtId="0" fontId="5" fillId="0" borderId="0" xfId="0" applyFont="1"/>
    <xf numFmtId="0" fontId="5" fillId="0" borderId="1" xfId="0" applyFont="1" applyBorder="1"/>
    <xf numFmtId="3" fontId="5" fillId="5" borderId="1" xfId="0" applyNumberFormat="1" applyFont="1" applyFill="1" applyBorder="1" applyAlignment="1">
      <alignment horizontal="center" vertical="center"/>
    </xf>
    <xf numFmtId="175" fontId="5" fillId="5" borderId="1" xfId="0" applyNumberFormat="1" applyFont="1" applyFill="1" applyBorder="1" applyAlignment="1">
      <alignment horizontal="center" vertical="center"/>
    </xf>
    <xf numFmtId="9" fontId="5" fillId="6" borderId="1" xfId="0" applyNumberFormat="1" applyFont="1" applyFill="1" applyBorder="1" applyAlignment="1">
      <alignment horizontal="center" vertical="center"/>
    </xf>
    <xf numFmtId="3" fontId="5" fillId="5" borderId="1" xfId="0" quotePrefix="1" applyNumberFormat="1" applyFont="1" applyFill="1" applyBorder="1" applyAlignment="1">
      <alignment horizontal="center" vertical="center"/>
    </xf>
    <xf numFmtId="0" fontId="5" fillId="11" borderId="1" xfId="0" applyFont="1" applyFill="1" applyBorder="1"/>
    <xf numFmtId="171" fontId="5" fillId="11" borderId="1" xfId="0" applyNumberFormat="1" applyFont="1" applyFill="1" applyBorder="1" applyAlignment="1">
      <alignment horizontal="center" vertical="center"/>
    </xf>
    <xf numFmtId="175" fontId="5" fillId="11" borderId="1" xfId="0" applyNumberFormat="1" applyFont="1" applyFill="1" applyBorder="1" applyAlignment="1">
      <alignment horizontal="center" vertical="center"/>
    </xf>
    <xf numFmtId="0" fontId="5" fillId="11" borderId="3" xfId="0" applyFont="1" applyFill="1" applyBorder="1"/>
    <xf numFmtId="175" fontId="5" fillId="11" borderId="3" xfId="0" applyNumberFormat="1" applyFont="1" applyFill="1" applyBorder="1" applyAlignment="1">
      <alignment horizontal="center" vertical="center"/>
    </xf>
    <xf numFmtId="0" fontId="5" fillId="0" borderId="33" xfId="0" applyFont="1" applyBorder="1"/>
    <xf numFmtId="9" fontId="5" fillId="0" borderId="13" xfId="0" applyNumberFormat="1" applyFont="1" applyBorder="1" applyAlignment="1">
      <alignment horizontal="center" vertical="center"/>
    </xf>
    <xf numFmtId="175" fontId="5" fillId="0" borderId="32" xfId="0" applyNumberFormat="1" applyFont="1" applyBorder="1" applyAlignment="1">
      <alignment horizontal="center" vertical="center"/>
    </xf>
    <xf numFmtId="0" fontId="5" fillId="0" borderId="10" xfId="0" applyFont="1" applyBorder="1"/>
    <xf numFmtId="9" fontId="5" fillId="0" borderId="1" xfId="0" applyNumberFormat="1" applyFont="1" applyBorder="1" applyAlignment="1">
      <alignment horizontal="center" vertical="center"/>
    </xf>
    <xf numFmtId="175" fontId="5" fillId="0" borderId="1" xfId="0" applyNumberFormat="1" applyFont="1" applyBorder="1" applyAlignment="1">
      <alignment horizontal="center" vertical="center"/>
    </xf>
    <xf numFmtId="3" fontId="5" fillId="0" borderId="1" xfId="0" applyNumberFormat="1" applyFont="1" applyBorder="1" applyAlignment="1">
      <alignment horizontal="center" vertical="center"/>
    </xf>
    <xf numFmtId="171" fontId="5" fillId="11" borderId="6" xfId="0" applyNumberFormat="1" applyFont="1" applyFill="1" applyBorder="1" applyAlignment="1">
      <alignment horizontal="center" vertical="center"/>
    </xf>
    <xf numFmtId="175" fontId="5" fillId="11" borderId="6" xfId="0" applyNumberFormat="1" applyFont="1" applyFill="1" applyBorder="1" applyAlignment="1">
      <alignment horizontal="center" vertical="center"/>
    </xf>
    <xf numFmtId="175" fontId="5" fillId="11" borderId="2" xfId="0" applyNumberFormat="1" applyFont="1" applyFill="1" applyBorder="1" applyAlignment="1">
      <alignment horizontal="center" vertical="center"/>
    </xf>
    <xf numFmtId="0" fontId="5" fillId="11" borderId="4" xfId="0" applyFont="1" applyFill="1" applyBorder="1"/>
    <xf numFmtId="175" fontId="5" fillId="11" borderId="31" xfId="0" applyNumberFormat="1" applyFont="1" applyFill="1" applyBorder="1" applyAlignment="1">
      <alignment horizontal="center" vertical="center"/>
    </xf>
    <xf numFmtId="175" fontId="5" fillId="11" borderId="4" xfId="0" applyNumberFormat="1" applyFont="1" applyFill="1" applyBorder="1" applyAlignment="1">
      <alignment horizontal="center" vertical="center"/>
    </xf>
    <xf numFmtId="0" fontId="5" fillId="0" borderId="6" xfId="0" applyFont="1" applyBorder="1"/>
    <xf numFmtId="9" fontId="5" fillId="5" borderId="6" xfId="0" applyNumberFormat="1" applyFont="1" applyFill="1" applyBorder="1" applyAlignment="1">
      <alignment horizontal="center" vertical="center"/>
    </xf>
    <xf numFmtId="3" fontId="5" fillId="3" borderId="6" xfId="0" applyNumberFormat="1" applyFont="1" applyFill="1" applyBorder="1" applyAlignment="1">
      <alignment horizontal="center" vertical="center"/>
    </xf>
    <xf numFmtId="167" fontId="5" fillId="0" borderId="6" xfId="0" applyNumberFormat="1" applyFont="1" applyBorder="1" applyAlignment="1">
      <alignment horizontal="center" vertical="center"/>
    </xf>
    <xf numFmtId="9" fontId="5" fillId="5" borderId="1"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5" borderId="1" xfId="0" applyNumberFormat="1" applyFont="1" applyFill="1" applyBorder="1" applyAlignment="1">
      <alignment horizontal="center" vertical="center"/>
    </xf>
    <xf numFmtId="0" fontId="5" fillId="0" borderId="13" xfId="0" applyFont="1" applyBorder="1"/>
    <xf numFmtId="0" fontId="5" fillId="0" borderId="13" xfId="0" quotePrefix="1" applyFont="1" applyBorder="1" applyAlignment="1">
      <alignment horizontal="center" vertical="center"/>
    </xf>
    <xf numFmtId="0" fontId="5" fillId="0" borderId="6" xfId="0" quotePrefix="1" applyFont="1" applyBorder="1" applyAlignment="1">
      <alignment horizontal="center" vertical="center"/>
    </xf>
    <xf numFmtId="165" fontId="5" fillId="11" borderId="4" xfId="0" applyNumberFormat="1" applyFont="1" applyFill="1" applyBorder="1" applyAlignment="1">
      <alignment horizontal="center" vertical="center"/>
    </xf>
    <xf numFmtId="176" fontId="5" fillId="11" borderId="6" xfId="0" applyNumberFormat="1" applyFont="1" applyFill="1" applyBorder="1" applyAlignment="1">
      <alignment horizontal="center" vertical="center"/>
    </xf>
    <xf numFmtId="176" fontId="5" fillId="11" borderId="1" xfId="0" applyNumberFormat="1" applyFont="1" applyFill="1" applyBorder="1" applyAlignment="1">
      <alignment horizontal="center" vertical="center"/>
    </xf>
    <xf numFmtId="9" fontId="5" fillId="3" borderId="1" xfId="0" applyNumberFormat="1" applyFont="1" applyFill="1" applyBorder="1" applyAlignment="1">
      <alignment horizontal="center" vertical="center"/>
    </xf>
    <xf numFmtId="3" fontId="5" fillId="5" borderId="6" xfId="0" applyNumberFormat="1" applyFont="1" applyFill="1" applyBorder="1" applyAlignment="1">
      <alignment horizontal="center" vertical="center"/>
    </xf>
    <xf numFmtId="3" fontId="5" fillId="5" borderId="6" xfId="0" quotePrefix="1" applyNumberFormat="1" applyFont="1" applyFill="1" applyBorder="1" applyAlignment="1">
      <alignment horizontal="center" vertical="center"/>
    </xf>
    <xf numFmtId="0" fontId="5" fillId="0" borderId="1" xfId="0" applyFont="1" applyBorder="1" applyAlignment="1">
      <alignment horizontal="center"/>
    </xf>
    <xf numFmtId="3" fontId="5" fillId="0" borderId="10" xfId="0" applyNumberFormat="1" applyFont="1" applyBorder="1" applyAlignment="1">
      <alignment horizontal="center" vertical="center"/>
    </xf>
    <xf numFmtId="0" fontId="5" fillId="5" borderId="1" xfId="0" applyFont="1" applyFill="1" applyBorder="1" applyAlignment="1">
      <alignment horizontal="center" vertical="center"/>
    </xf>
    <xf numFmtId="175" fontId="5" fillId="0" borderId="6" xfId="0" applyNumberFormat="1" applyFont="1" applyBorder="1"/>
    <xf numFmtId="175" fontId="5" fillId="0" borderId="3" xfId="0" applyNumberFormat="1" applyFont="1" applyBorder="1" applyAlignment="1">
      <alignment horizontal="center" vertical="center"/>
    </xf>
    <xf numFmtId="176" fontId="5" fillId="0" borderId="1" xfId="0" applyNumberFormat="1" applyFont="1" applyBorder="1" applyAlignment="1">
      <alignment horizontal="center"/>
    </xf>
    <xf numFmtId="175" fontId="5" fillId="0" borderId="1" xfId="0" applyNumberFormat="1" applyFont="1" applyBorder="1" applyAlignment="1">
      <alignment horizontal="center"/>
    </xf>
    <xf numFmtId="9" fontId="5" fillId="0" borderId="0" xfId="0" applyNumberFormat="1" applyFont="1"/>
    <xf numFmtId="166" fontId="5" fillId="0" borderId="0" xfId="0" applyNumberFormat="1" applyFont="1"/>
    <xf numFmtId="0" fontId="5" fillId="0" borderId="7" xfId="0" applyFont="1" applyBorder="1"/>
    <xf numFmtId="0" fontId="5" fillId="0" borderId="1" xfId="0" applyFont="1" applyBorder="1" applyAlignment="1">
      <alignment horizontal="left"/>
    </xf>
    <xf numFmtId="9" fontId="5" fillId="0" borderId="1" xfId="0" applyNumberFormat="1" applyFont="1" applyBorder="1" applyAlignment="1">
      <alignment horizontal="center"/>
    </xf>
    <xf numFmtId="0" fontId="5" fillId="0" borderId="0" xfId="0" applyFont="1" applyAlignment="1">
      <alignment horizontal="left"/>
    </xf>
    <xf numFmtId="9" fontId="5" fillId="0" borderId="0" xfId="0" applyNumberFormat="1" applyFont="1" applyAlignment="1">
      <alignment horizontal="center"/>
    </xf>
    <xf numFmtId="9" fontId="5" fillId="0" borderId="5" xfId="0" applyNumberFormat="1" applyFont="1" applyBorder="1"/>
    <xf numFmtId="9" fontId="5" fillId="7" borderId="5" xfId="0" applyNumberFormat="1" applyFont="1" applyFill="1" applyBorder="1"/>
    <xf numFmtId="9" fontId="5" fillId="0" borderId="19" xfId="0" applyNumberFormat="1" applyFont="1" applyBorder="1"/>
    <xf numFmtId="9" fontId="5" fillId="0" borderId="7" xfId="0" applyNumberFormat="1" applyFont="1" applyBorder="1"/>
    <xf numFmtId="166" fontId="5" fillId="0" borderId="7" xfId="0" applyNumberFormat="1" applyFont="1" applyBorder="1"/>
    <xf numFmtId="9" fontId="5" fillId="7" borderId="7" xfId="0" applyNumberFormat="1" applyFont="1" applyFill="1" applyBorder="1"/>
    <xf numFmtId="166" fontId="5" fillId="7" borderId="0" xfId="0" applyNumberFormat="1" applyFont="1" applyFill="1"/>
    <xf numFmtId="0" fontId="5" fillId="0" borderId="0" xfId="0" applyFont="1" applyAlignment="1">
      <alignment vertical="top" wrapText="1"/>
    </xf>
    <xf numFmtId="0" fontId="22" fillId="0" borderId="1" xfId="4" applyFont="1" applyBorder="1" applyAlignment="1">
      <alignment horizontal="left"/>
    </xf>
    <xf numFmtId="166" fontId="22" fillId="0" borderId="1" xfId="4" applyNumberFormat="1" applyFont="1" applyBorder="1" applyAlignment="1">
      <alignment horizontal="center" wrapText="1"/>
    </xf>
    <xf numFmtId="0" fontId="23" fillId="0" borderId="1" xfId="0" applyFont="1" applyBorder="1" applyAlignment="1">
      <alignment horizontal="center"/>
    </xf>
    <xf numFmtId="175" fontId="23" fillId="0" borderId="1" xfId="0" applyNumberFormat="1" applyFont="1" applyBorder="1" applyAlignment="1">
      <alignment horizontal="center"/>
    </xf>
    <xf numFmtId="0" fontId="4" fillId="0" borderId="0" xfId="0" applyFont="1"/>
    <xf numFmtId="176" fontId="5" fillId="3" borderId="1" xfId="0" applyNumberFormat="1" applyFont="1" applyFill="1" applyBorder="1" applyAlignment="1">
      <alignment horizontal="center"/>
    </xf>
    <xf numFmtId="0" fontId="4" fillId="5" borderId="26" xfId="0" applyFont="1" applyFill="1" applyBorder="1" applyAlignment="1">
      <alignment wrapText="1"/>
    </xf>
    <xf numFmtId="0" fontId="4" fillId="0" borderId="1" xfId="0" applyFont="1" applyBorder="1"/>
    <xf numFmtId="0" fontId="4" fillId="11" borderId="1" xfId="0" applyFont="1" applyFill="1" applyBorder="1"/>
    <xf numFmtId="0" fontId="5" fillId="0" borderId="0" xfId="0" applyFont="1" applyAlignment="1">
      <alignment horizontal="left" wrapText="1"/>
    </xf>
    <xf numFmtId="0" fontId="5" fillId="0" borderId="0" xfId="0" applyFont="1" applyAlignment="1">
      <alignment horizontal="right" textRotation="90"/>
    </xf>
    <xf numFmtId="0" fontId="5" fillId="0" borderId="0" xfId="0" applyFont="1" applyAlignment="1">
      <alignment horizontal="right" vertical="center" textRotation="90" wrapText="1"/>
    </xf>
    <xf numFmtId="0" fontId="3" fillId="0" borderId="1" xfId="0" applyFont="1" applyBorder="1" applyAlignment="1">
      <alignment horizontal="left"/>
    </xf>
    <xf numFmtId="1" fontId="36" fillId="3" borderId="1" xfId="0" applyNumberFormat="1" applyFont="1" applyFill="1" applyBorder="1" applyAlignment="1">
      <alignment horizontal="center"/>
    </xf>
    <xf numFmtId="1" fontId="3" fillId="0" borderId="1" xfId="0" applyNumberFormat="1" applyFont="1" applyBorder="1" applyAlignment="1">
      <alignment horizontal="center"/>
    </xf>
    <xf numFmtId="0" fontId="5" fillId="0" borderId="34" xfId="0" applyFont="1" applyBorder="1" applyAlignment="1">
      <alignment horizontal="left"/>
    </xf>
    <xf numFmtId="9" fontId="5" fillId="0" borderId="34" xfId="0" applyNumberFormat="1" applyFont="1" applyBorder="1" applyAlignment="1">
      <alignment horizontal="center"/>
    </xf>
    <xf numFmtId="0" fontId="36" fillId="0" borderId="34" xfId="0" applyFont="1" applyBorder="1"/>
    <xf numFmtId="0" fontId="36" fillId="0" borderId="1" xfId="0" applyFont="1" applyBorder="1" applyAlignment="1">
      <alignment horizontal="left" vertical="center" indent="1"/>
    </xf>
    <xf numFmtId="0" fontId="36" fillId="0" borderId="1" xfId="0" applyFont="1" applyBorder="1" applyAlignment="1">
      <alignment horizontal="left" vertical="center"/>
    </xf>
    <xf numFmtId="0" fontId="36" fillId="0" borderId="1" xfId="0" applyFont="1" applyBorder="1" applyAlignment="1">
      <alignment vertical="center"/>
    </xf>
    <xf numFmtId="0" fontId="44" fillId="0" borderId="1" xfId="0" applyFont="1" applyBorder="1" applyAlignment="1">
      <alignment horizontal="left" vertical="center" indent="1"/>
    </xf>
    <xf numFmtId="175" fontId="44" fillId="3" borderId="1" xfId="0" applyNumberFormat="1" applyFont="1" applyFill="1" applyBorder="1" applyAlignment="1">
      <alignment horizontal="center" vertical="center"/>
    </xf>
    <xf numFmtId="0" fontId="44" fillId="0" borderId="1" xfId="0" applyFont="1" applyBorder="1" applyAlignment="1">
      <alignment horizontal="left" vertical="center"/>
    </xf>
    <xf numFmtId="0" fontId="44" fillId="0" borderId="1" xfId="0" applyFont="1" applyBorder="1" applyAlignment="1">
      <alignment vertical="center"/>
    </xf>
    <xf numFmtId="0" fontId="3" fillId="0" borderId="1" xfId="0" applyFont="1" applyBorder="1"/>
    <xf numFmtId="0" fontId="3" fillId="0" borderId="0" xfId="0" applyFont="1"/>
    <xf numFmtId="166" fontId="3" fillId="0" borderId="30" xfId="0" applyNumberFormat="1" applyFont="1" applyBorder="1"/>
    <xf numFmtId="166" fontId="3" fillId="0" borderId="9" xfId="0" applyNumberFormat="1" applyFont="1" applyBorder="1"/>
    <xf numFmtId="166" fontId="3" fillId="0" borderId="0" xfId="0" applyNumberFormat="1" applyFont="1"/>
    <xf numFmtId="166" fontId="3" fillId="7" borderId="20" xfId="0" applyNumberFormat="1" applyFont="1" applyFill="1" applyBorder="1"/>
    <xf numFmtId="9" fontId="5" fillId="7" borderId="0" xfId="0" applyNumberFormat="1" applyFont="1" applyFill="1"/>
    <xf numFmtId="166" fontId="5" fillId="0" borderId="20" xfId="0" applyNumberFormat="1" applyFont="1" applyBorder="1"/>
    <xf numFmtId="166" fontId="5" fillId="0" borderId="30" xfId="0" applyNumberFormat="1" applyFont="1" applyBorder="1"/>
    <xf numFmtId="166" fontId="5" fillId="0" borderId="8" xfId="0" applyNumberFormat="1" applyFont="1" applyBorder="1"/>
    <xf numFmtId="166" fontId="5" fillId="0" borderId="9" xfId="0" applyNumberFormat="1" applyFont="1" applyBorder="1"/>
    <xf numFmtId="0" fontId="3" fillId="7" borderId="0" xfId="0" applyFont="1" applyFill="1"/>
    <xf numFmtId="0" fontId="2" fillId="0" borderId="0" xfId="0" applyFont="1"/>
    <xf numFmtId="0" fontId="5" fillId="0" borderId="3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 xfId="0" applyFont="1" applyBorder="1" applyAlignment="1">
      <alignment horizontal="center" vertical="center"/>
    </xf>
    <xf numFmtId="0" fontId="9" fillId="11" borderId="18" xfId="0" applyFont="1" applyFill="1" applyBorder="1" applyAlignment="1">
      <alignment horizontal="left"/>
    </xf>
    <xf numFmtId="0" fontId="9" fillId="11" borderId="19" xfId="0" applyFont="1" applyFill="1" applyBorder="1" applyAlignment="1">
      <alignment horizontal="left"/>
    </xf>
    <xf numFmtId="0" fontId="5" fillId="0" borderId="32" xfId="0" applyFont="1" applyBorder="1" applyAlignment="1">
      <alignment horizontal="center" vertical="center"/>
    </xf>
    <xf numFmtId="0" fontId="5" fillId="0" borderId="31" xfId="0" applyFont="1" applyBorder="1" applyAlignment="1">
      <alignment horizontal="center" vertical="center"/>
    </xf>
    <xf numFmtId="0" fontId="5" fillId="0" borderId="10" xfId="0" applyFont="1" applyBorder="1" applyAlignment="1">
      <alignment horizontal="left"/>
    </xf>
    <xf numFmtId="0" fontId="5" fillId="0" borderId="35" xfId="0" applyFont="1" applyBorder="1" applyAlignment="1">
      <alignment horizontal="left"/>
    </xf>
    <xf numFmtId="0" fontId="11" fillId="4" borderId="10" xfId="0" applyFont="1" applyFill="1" applyBorder="1" applyAlignment="1">
      <alignment horizontal="center"/>
    </xf>
    <xf numFmtId="0" fontId="11" fillId="4" borderId="34" xfId="0" applyFont="1" applyFill="1" applyBorder="1" applyAlignment="1">
      <alignment horizontal="center"/>
    </xf>
    <xf numFmtId="0" fontId="11" fillId="4" borderId="35" xfId="0" applyFont="1" applyFill="1" applyBorder="1" applyAlignment="1">
      <alignment horizontal="center"/>
    </xf>
    <xf numFmtId="0" fontId="9" fillId="11" borderId="1" xfId="0" applyFont="1" applyFill="1" applyBorder="1" applyAlignment="1">
      <alignment horizontal="left"/>
    </xf>
    <xf numFmtId="0" fontId="12" fillId="0" borderId="1" xfId="0" applyFont="1" applyBorder="1" applyAlignment="1">
      <alignment horizontal="left" vertical="center" wrapText="1"/>
    </xf>
    <xf numFmtId="168" fontId="14" fillId="0" borderId="1" xfId="0" applyNumberFormat="1" applyFont="1" applyBorder="1" applyAlignment="1">
      <alignment horizontal="left" vertical="center"/>
    </xf>
    <xf numFmtId="0" fontId="14" fillId="0" borderId="1" xfId="0" applyFont="1" applyBorder="1" applyAlignment="1">
      <alignment horizontal="left" vertical="center"/>
    </xf>
    <xf numFmtId="0" fontId="11" fillId="4" borderId="10" xfId="0" applyFont="1" applyFill="1" applyBorder="1" applyAlignment="1">
      <alignment horizontal="left"/>
    </xf>
    <xf numFmtId="0" fontId="11" fillId="4" borderId="34" xfId="0" applyFont="1" applyFill="1" applyBorder="1" applyAlignment="1">
      <alignment horizontal="left"/>
    </xf>
    <xf numFmtId="0" fontId="11" fillId="4" borderId="35" xfId="0" applyFont="1" applyFill="1" applyBorder="1" applyAlignment="1">
      <alignment horizontal="left"/>
    </xf>
    <xf numFmtId="0" fontId="12" fillId="0" borderId="30" xfId="0" applyFont="1" applyBorder="1" applyAlignment="1">
      <alignment horizontal="left" vertical="center" wrapText="1"/>
    </xf>
    <xf numFmtId="0" fontId="12" fillId="0" borderId="8" xfId="0" applyFont="1" applyBorder="1" applyAlignment="1">
      <alignment horizontal="left" vertical="center" wrapText="1"/>
    </xf>
    <xf numFmtId="0" fontId="12" fillId="0" borderId="5" xfId="0" applyFont="1" applyBorder="1" applyAlignment="1">
      <alignment horizontal="left" vertical="center" wrapText="1"/>
    </xf>
    <xf numFmtId="0" fontId="12" fillId="0" borderId="19" xfId="0" applyFont="1" applyBorder="1" applyAlignment="1">
      <alignment horizontal="left" vertical="center" wrapText="1"/>
    </xf>
    <xf numFmtId="0" fontId="11" fillId="4" borderId="10" xfId="0" applyFont="1" applyFill="1" applyBorder="1" applyAlignment="1">
      <alignment horizontal="center" wrapText="1"/>
    </xf>
    <xf numFmtId="0" fontId="11" fillId="4" borderId="35" xfId="0" applyFont="1" applyFill="1" applyBorder="1" applyAlignment="1">
      <alignment horizontal="center" wrapText="1"/>
    </xf>
    <xf numFmtId="0" fontId="11" fillId="4" borderId="1" xfId="0" applyFont="1" applyFill="1" applyBorder="1" applyAlignment="1">
      <alignment horizontal="center"/>
    </xf>
    <xf numFmtId="0" fontId="26" fillId="4" borderId="1" xfId="0" applyFont="1" applyFill="1" applyBorder="1" applyAlignment="1">
      <alignment horizontal="left" vertical="center" wrapText="1"/>
    </xf>
    <xf numFmtId="168" fontId="14" fillId="0" borderId="20" xfId="0" applyNumberFormat="1" applyFont="1" applyBorder="1" applyAlignment="1">
      <alignment horizontal="left" vertical="center"/>
    </xf>
    <xf numFmtId="168" fontId="14" fillId="0" borderId="30" xfId="0" applyNumberFormat="1" applyFont="1" applyBorder="1" applyAlignment="1">
      <alignment horizontal="left" vertical="center"/>
    </xf>
    <xf numFmtId="168" fontId="14" fillId="0" borderId="8" xfId="0" applyNumberFormat="1" applyFont="1" applyBorder="1" applyAlignment="1">
      <alignment horizontal="left" vertical="center"/>
    </xf>
    <xf numFmtId="168" fontId="14" fillId="0" borderId="18" xfId="0" applyNumberFormat="1" applyFont="1" applyBorder="1" applyAlignment="1">
      <alignment horizontal="left" vertical="center"/>
    </xf>
    <xf numFmtId="168" fontId="14" fillId="0" borderId="5" xfId="0" applyNumberFormat="1" applyFont="1" applyBorder="1" applyAlignment="1">
      <alignment horizontal="left" vertical="center"/>
    </xf>
    <xf numFmtId="168" fontId="14" fillId="0" borderId="19" xfId="0" applyNumberFormat="1" applyFont="1" applyBorder="1" applyAlignment="1">
      <alignment horizontal="left" vertical="center"/>
    </xf>
    <xf numFmtId="0" fontId="11" fillId="4" borderId="18" xfId="0" applyFont="1" applyFill="1" applyBorder="1" applyAlignment="1">
      <alignment horizontal="left"/>
    </xf>
    <xf numFmtId="0" fontId="11" fillId="4" borderId="5" xfId="0" applyFont="1" applyFill="1" applyBorder="1" applyAlignment="1">
      <alignment horizontal="left"/>
    </xf>
    <xf numFmtId="0" fontId="24" fillId="2" borderId="0" xfId="4" applyFont="1" applyFill="1" applyAlignment="1">
      <alignment horizontal="center" vertical="center" wrapText="1"/>
    </xf>
    <xf numFmtId="0" fontId="5" fillId="5" borderId="26" xfId="0" applyFont="1" applyFill="1" applyBorder="1" applyAlignment="1">
      <alignment horizontal="left" vertical="center" wrapText="1"/>
    </xf>
    <xf numFmtId="0" fontId="0" fillId="5" borderId="0" xfId="0" applyFill="1" applyAlignment="1">
      <alignment horizontal="left"/>
    </xf>
    <xf numFmtId="0" fontId="23" fillId="0" borderId="32" xfId="0" applyFont="1" applyBorder="1" applyAlignment="1">
      <alignment horizontal="left" vertical="center" wrapText="1"/>
    </xf>
    <xf numFmtId="0" fontId="23" fillId="0" borderId="31" xfId="0" applyFont="1" applyBorder="1" applyAlignment="1">
      <alignment horizontal="left" vertical="center" wrapText="1"/>
    </xf>
    <xf numFmtId="0" fontId="31" fillId="0" borderId="0" xfId="0" applyFont="1" applyAlignment="1">
      <alignment horizontal="left"/>
    </xf>
    <xf numFmtId="0" fontId="23" fillId="0" borderId="0" xfId="0" applyFont="1" applyAlignment="1">
      <alignment horizontal="left"/>
    </xf>
    <xf numFmtId="0" fontId="39" fillId="5" borderId="0" xfId="5" applyFont="1" applyFill="1" applyBorder="1" applyAlignment="1">
      <alignment horizontal="center" vertical="center"/>
    </xf>
    <xf numFmtId="0" fontId="36" fillId="3" borderId="0" xfId="5" applyFont="1" applyFill="1" applyBorder="1" applyAlignment="1">
      <alignment horizontal="center" vertical="center"/>
    </xf>
    <xf numFmtId="166" fontId="5" fillId="6" borderId="0" xfId="0" quotePrefix="1" applyNumberFormat="1" applyFont="1" applyFill="1" applyAlignment="1">
      <alignment horizontal="center" vertical="center"/>
    </xf>
    <xf numFmtId="0" fontId="3" fillId="0" borderId="0" xfId="0" applyFont="1" applyAlignment="1">
      <alignment horizontal="right" vertical="center" textRotation="90" wrapText="1"/>
    </xf>
    <xf numFmtId="0" fontId="3" fillId="0" borderId="5" xfId="0" applyFont="1" applyBorder="1" applyAlignment="1">
      <alignment horizontal="right" vertical="center" textRotation="90" wrapText="1"/>
    </xf>
    <xf numFmtId="0" fontId="3" fillId="0" borderId="0" xfId="0" applyFont="1" applyAlignment="1">
      <alignment horizontal="left" vertical="top" wrapText="1"/>
    </xf>
    <xf numFmtId="0" fontId="3" fillId="0" borderId="0" xfId="0" applyFont="1" applyAlignment="1">
      <alignment horizontal="right" vertical="center" textRotation="90"/>
    </xf>
    <xf numFmtId="0" fontId="2" fillId="0" borderId="0" xfId="0" applyFont="1" applyAlignment="1">
      <alignment horizontal="left" vertical="center" wrapText="1"/>
    </xf>
    <xf numFmtId="0" fontId="5" fillId="0" borderId="0" xfId="0" applyFont="1" applyAlignment="1">
      <alignment horizontal="left" vertical="center" wrapText="1"/>
    </xf>
    <xf numFmtId="0" fontId="2" fillId="0" borderId="0" xfId="0" applyFont="1" applyAlignment="1">
      <alignment horizontal="left" wrapText="1"/>
    </xf>
    <xf numFmtId="0" fontId="5" fillId="0" borderId="0" xfId="0" applyFont="1" applyAlignment="1">
      <alignment horizontal="left" wrapText="1"/>
    </xf>
    <xf numFmtId="0" fontId="5" fillId="0" borderId="0" xfId="0" applyFont="1" applyAlignment="1">
      <alignment horizontal="right" textRotation="90"/>
    </xf>
    <xf numFmtId="0" fontId="2"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right" vertical="center" textRotation="90" wrapText="1"/>
    </xf>
  </cellXfs>
  <cellStyles count="6">
    <cellStyle name="Comma" xfId="1" builtinId="3"/>
    <cellStyle name="Hyperlink" xfId="2" builtinId="8"/>
    <cellStyle name="Input" xfId="5" builtinId="20"/>
    <cellStyle name="Normal" xfId="0" builtinId="0"/>
    <cellStyle name="Normal 3" xfId="4" xr:uid="{B5DEC5C4-E422-482E-BE12-DD5237397492}"/>
    <cellStyle name="Percent" xfId="3" builtinId="5"/>
  </cellStyles>
  <dxfs count="44">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C00000"/>
      </font>
    </dxf>
    <dxf>
      <font>
        <color rgb="FFC00000"/>
      </font>
    </dxf>
    <dxf>
      <font>
        <color rgb="FF9C0006"/>
      </font>
    </dxf>
    <dxf>
      <font>
        <color rgb="FF9C0006"/>
      </font>
    </dxf>
    <dxf>
      <font>
        <color rgb="FF9C0006"/>
      </font>
    </dxf>
    <dxf>
      <font>
        <color rgb="FF9C0006"/>
      </font>
    </dxf>
    <dxf>
      <font>
        <color rgb="FF9C0006"/>
      </font>
    </dxf>
    <dxf>
      <font>
        <color rgb="FFC00000"/>
      </font>
    </dxf>
    <dxf>
      <font>
        <color rgb="FF9C0006"/>
      </font>
    </dxf>
    <dxf>
      <font>
        <color rgb="FFC00000"/>
      </font>
    </dxf>
    <dxf>
      <font>
        <color rgb="FFC00000"/>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theme="0"/>
      </font>
      <fill>
        <patternFill>
          <bgColor rgb="FFB4463C"/>
        </patternFill>
      </fill>
    </dxf>
    <dxf>
      <fill>
        <patternFill>
          <bgColor rgb="FFE1BE6E"/>
        </patternFill>
      </fill>
    </dxf>
    <dxf>
      <fill>
        <patternFill>
          <bgColor rgb="FF96B473"/>
        </patternFill>
      </fill>
    </dxf>
    <dxf>
      <font>
        <color theme="0"/>
      </font>
      <fill>
        <patternFill>
          <bgColor rgb="FFB4463C"/>
        </patternFill>
      </fill>
    </dxf>
    <dxf>
      <fill>
        <patternFill>
          <bgColor rgb="FFE1BE6E"/>
        </patternFill>
      </fill>
    </dxf>
    <dxf>
      <fill>
        <patternFill>
          <bgColor rgb="FF96B473"/>
        </patternFill>
      </fill>
    </dxf>
    <dxf>
      <font>
        <color theme="0"/>
      </font>
      <fill>
        <patternFill>
          <bgColor rgb="FFB4463C"/>
        </patternFill>
      </fill>
    </dxf>
    <dxf>
      <fill>
        <patternFill>
          <bgColor rgb="FFE1BE6E"/>
        </patternFill>
      </fill>
    </dxf>
    <dxf>
      <fill>
        <patternFill>
          <bgColor rgb="FF96B473"/>
        </patternFill>
      </fill>
    </dxf>
  </dxfs>
  <tableStyles count="0" defaultTableStyle="TableStyleMedium2" defaultPivotStyle="PivotStyleLight16"/>
  <colors>
    <mruColors>
      <color rgb="FFCDD2B4"/>
      <color rgb="FF8B9FC2"/>
      <color rgb="FFBED2E1"/>
      <color rgb="FFDCA591"/>
      <color rgb="FFBDD1E0"/>
      <color rgb="FFE7E6E6"/>
      <color rgb="FFC8AF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r>
              <a:rPr lang="en-US" b="1"/>
              <a:t>Present Value vs. Project Costs (in 2021 EUR)</a:t>
            </a:r>
          </a:p>
        </c:rich>
      </c:tx>
      <c:layout>
        <c:manualLayout>
          <c:xMode val="edge"/>
          <c:yMode val="edge"/>
          <c:x val="0.36835680246855768"/>
          <c:y val="2.616891112937474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Pero" panose="020F0506020203030304" pitchFamily="34" charset="0"/>
              <a:ea typeface="+mn-ea"/>
              <a:cs typeface="+mn-cs"/>
            </a:defRPr>
          </a:pPr>
          <a:endParaRPr lang="en-US"/>
        </a:p>
      </c:txPr>
    </c:title>
    <c:autoTitleDeleted val="0"/>
    <c:plotArea>
      <c:layout>
        <c:manualLayout>
          <c:layoutTarget val="inner"/>
          <c:xMode val="edge"/>
          <c:yMode val="edge"/>
          <c:x val="8.7407794014573548E-2"/>
          <c:y val="0.12003518151674583"/>
          <c:w val="0.91259220598542645"/>
          <c:h val="0.74103425397315226"/>
        </c:manualLayout>
      </c:layout>
      <c:barChart>
        <c:barDir val="col"/>
        <c:grouping val="clustered"/>
        <c:varyColors val="0"/>
        <c:ser>
          <c:idx val="0"/>
          <c:order val="0"/>
          <c:spPr>
            <a:solidFill>
              <a:srgbClr val="DCA591"/>
            </a:solidFill>
            <a:ln>
              <a:noFill/>
            </a:ln>
            <a:effectLst/>
          </c:spPr>
          <c:invertIfNegative val="0"/>
          <c:dPt>
            <c:idx val="1"/>
            <c:invertIfNegative val="0"/>
            <c:bubble3D val="0"/>
            <c:spPr>
              <a:solidFill>
                <a:srgbClr val="CDD2B4"/>
              </a:solidFill>
              <a:ln>
                <a:noFill/>
              </a:ln>
              <a:effectLst/>
            </c:spPr>
            <c:extLst>
              <c:ext xmlns:c16="http://schemas.microsoft.com/office/drawing/2014/chart" uri="{C3380CC4-5D6E-409C-BE32-E72D297353CC}">
                <c16:uniqueId val="{00000003-9255-4A34-9705-2D06D2C37F04}"/>
              </c:ext>
            </c:extLst>
          </c:dPt>
          <c:dPt>
            <c:idx val="2"/>
            <c:invertIfNegative val="0"/>
            <c:bubble3D val="0"/>
            <c:spPr>
              <a:solidFill>
                <a:srgbClr val="BED2E1"/>
              </a:solidFill>
              <a:ln>
                <a:noFill/>
              </a:ln>
              <a:effectLst/>
            </c:spPr>
            <c:extLst>
              <c:ext xmlns:c16="http://schemas.microsoft.com/office/drawing/2014/chart" uri="{C3380CC4-5D6E-409C-BE32-E72D297353CC}">
                <c16:uniqueId val="{00000005-9255-4A34-9705-2D06D2C37F04}"/>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Summary!$B$69:$B$71</c:f>
              <c:strCache>
                <c:ptCount val="3"/>
                <c:pt idx="0">
                  <c:v>Project Costs discounted</c:v>
                </c:pt>
                <c:pt idx="1">
                  <c:v>Present Value </c:v>
                </c:pt>
                <c:pt idx="2">
                  <c:v>Net Present Value </c:v>
                </c:pt>
              </c:strCache>
            </c:strRef>
          </c:cat>
          <c:val>
            <c:numRef>
              <c:f>Summary!$C$69:$C$71</c:f>
              <c:numCache>
                <c:formatCode>#,##0\ "€"</c:formatCode>
                <c:ptCount val="3"/>
                <c:pt idx="0">
                  <c:v>2862833.6784584387</c:v>
                </c:pt>
                <c:pt idx="1">
                  <c:v>22669896.162917472</c:v>
                </c:pt>
                <c:pt idx="2">
                  <c:v>19807062.484459035</c:v>
                </c:pt>
              </c:numCache>
            </c:numRef>
          </c:val>
          <c:extLst>
            <c:ext xmlns:c16="http://schemas.microsoft.com/office/drawing/2014/chart" uri="{C3380CC4-5D6E-409C-BE32-E72D297353CC}">
              <c16:uniqueId val="{0000000A-9255-4A34-9705-2D06D2C37F04}"/>
            </c:ext>
          </c:extLst>
        </c:ser>
        <c:dLbls>
          <c:showLegendKey val="0"/>
          <c:showVal val="0"/>
          <c:showCatName val="0"/>
          <c:showSerName val="0"/>
          <c:showPercent val="0"/>
          <c:showBubbleSize val="0"/>
        </c:dLbls>
        <c:gapWidth val="100"/>
        <c:overlap val="-27"/>
        <c:axId val="843113504"/>
        <c:axId val="843114584"/>
      </c:barChart>
      <c:catAx>
        <c:axId val="843113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843114584"/>
        <c:crosses val="autoZero"/>
        <c:auto val="1"/>
        <c:lblAlgn val="ctr"/>
        <c:lblOffset val="100"/>
        <c:noMultiLvlLbl val="0"/>
      </c:catAx>
      <c:valAx>
        <c:axId val="843114584"/>
        <c:scaling>
          <c:orientation val="minMax"/>
        </c:scaling>
        <c:delete val="0"/>
        <c:axPos val="l"/>
        <c:majorGridlines>
          <c:spPr>
            <a:ln w="9525" cap="flat" cmpd="sng" algn="ctr">
              <a:solidFill>
                <a:schemeClr val="tx1">
                  <a:lumMod val="15000"/>
                  <a:lumOff val="85000"/>
                </a:schemeClr>
              </a:solidFill>
              <a:round/>
            </a:ln>
            <a:effectLst/>
          </c:spPr>
        </c:majorGridlines>
        <c:numFmt formatCode="#,##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ero" panose="020F0506020203030304" pitchFamily="34" charset="0"/>
                <a:ea typeface="+mn-ea"/>
                <a:cs typeface="+mn-cs"/>
              </a:defRPr>
            </a:pPr>
            <a:endParaRPr lang="en-US"/>
          </a:p>
        </c:txPr>
        <c:crossAx val="8431135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Pero" panose="020F05060202030303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r>
              <a:rPr lang="en-US" sz="1400" b="1" i="0" u="none" strike="noStrike" kern="1200" spc="0" baseline="0">
                <a:solidFill>
                  <a:sysClr val="windowText" lastClr="000000"/>
                </a:solidFill>
                <a:latin typeface="Pero" panose="020F0506020203030304" pitchFamily="34" charset="0"/>
              </a:rPr>
              <a:t>Present Value vs. Costs per Household (in 2021 EUR)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endParaRPr lang="en-US"/>
        </a:p>
      </c:txPr>
    </c:title>
    <c:autoTitleDeleted val="0"/>
    <c:plotArea>
      <c:layout/>
      <c:barChart>
        <c:barDir val="col"/>
        <c:grouping val="clustered"/>
        <c:varyColors val="0"/>
        <c:ser>
          <c:idx val="0"/>
          <c:order val="0"/>
          <c:tx>
            <c:strRef>
              <c:f>Summary!$B$48:$B$50</c:f>
              <c:strCache>
                <c:ptCount val="3"/>
                <c:pt idx="0">
                  <c:v>Costs per HH</c:v>
                </c:pt>
                <c:pt idx="1">
                  <c:v>Present Value per HH</c:v>
                </c:pt>
                <c:pt idx="2">
                  <c:v>NPV per HH</c:v>
                </c:pt>
              </c:strCache>
            </c:strRef>
          </c:tx>
          <c:spPr>
            <a:solidFill>
              <a:schemeClr val="accent1"/>
            </a:solidFill>
            <a:ln>
              <a:noFill/>
            </a:ln>
            <a:effectLst/>
          </c:spPr>
          <c:invertIfNegative val="0"/>
          <c:dPt>
            <c:idx val="0"/>
            <c:invertIfNegative val="0"/>
            <c:bubble3D val="0"/>
            <c:spPr>
              <a:solidFill>
                <a:srgbClr val="BED2E1"/>
              </a:solidFill>
              <a:ln>
                <a:noFill/>
              </a:ln>
              <a:effectLst/>
            </c:spPr>
            <c:extLst>
              <c:ext xmlns:c16="http://schemas.microsoft.com/office/drawing/2014/chart" uri="{C3380CC4-5D6E-409C-BE32-E72D297353CC}">
                <c16:uniqueId val="{00000001-5A1C-477B-8BD6-6EE0B4426B99}"/>
              </c:ext>
            </c:extLst>
          </c:dPt>
          <c:dPt>
            <c:idx val="1"/>
            <c:invertIfNegative val="0"/>
            <c:bubble3D val="0"/>
            <c:spPr>
              <a:solidFill>
                <a:srgbClr val="DCA591"/>
              </a:solidFill>
              <a:ln>
                <a:noFill/>
              </a:ln>
              <a:effectLst/>
            </c:spPr>
            <c:extLst>
              <c:ext xmlns:c16="http://schemas.microsoft.com/office/drawing/2014/chart" uri="{C3380CC4-5D6E-409C-BE32-E72D297353CC}">
                <c16:uniqueId val="{00000003-5A1C-477B-8BD6-6EE0B4426B99}"/>
              </c:ext>
            </c:extLst>
          </c:dPt>
          <c:dPt>
            <c:idx val="2"/>
            <c:invertIfNegative val="0"/>
            <c:bubble3D val="0"/>
            <c:spPr>
              <a:solidFill>
                <a:srgbClr val="CDD2B4"/>
              </a:solidFill>
              <a:ln>
                <a:noFill/>
              </a:ln>
              <a:effectLst/>
            </c:spPr>
            <c:extLst>
              <c:ext xmlns:c16="http://schemas.microsoft.com/office/drawing/2014/chart" uri="{C3380CC4-5D6E-409C-BE32-E72D297353CC}">
                <c16:uniqueId val="{00000005-5A1C-477B-8BD6-6EE0B4426B99}"/>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Summary!$B$48:$B$50</c:f>
              <c:strCache>
                <c:ptCount val="3"/>
                <c:pt idx="0">
                  <c:v>Costs per HH</c:v>
                </c:pt>
                <c:pt idx="1">
                  <c:v>Present Value per HH</c:v>
                </c:pt>
                <c:pt idx="2">
                  <c:v>NPV per HH</c:v>
                </c:pt>
              </c:strCache>
            </c:strRef>
          </c:cat>
          <c:val>
            <c:numRef>
              <c:f>Summary!$C$48:$C$50</c:f>
              <c:numCache>
                <c:formatCode>"€"#,##0_);\("€"#,##0\)</c:formatCode>
                <c:ptCount val="3"/>
                <c:pt idx="0">
                  <c:v>69.240467477907643</c:v>
                </c:pt>
                <c:pt idx="1">
                  <c:v>548.29388790803216</c:v>
                </c:pt>
                <c:pt idx="2">
                  <c:v>479.0534204301245</c:v>
                </c:pt>
              </c:numCache>
            </c:numRef>
          </c:val>
          <c:extLst>
            <c:ext xmlns:c16="http://schemas.microsoft.com/office/drawing/2014/chart" uri="{C3380CC4-5D6E-409C-BE32-E72D297353CC}">
              <c16:uniqueId val="{0000000A-5A1C-477B-8BD6-6EE0B4426B99}"/>
            </c:ext>
          </c:extLst>
        </c:ser>
        <c:dLbls>
          <c:showLegendKey val="0"/>
          <c:showVal val="0"/>
          <c:showCatName val="0"/>
          <c:showSerName val="0"/>
          <c:showPercent val="0"/>
          <c:showBubbleSize val="0"/>
        </c:dLbls>
        <c:gapWidth val="100"/>
        <c:axId val="1235029696"/>
        <c:axId val="1235044816"/>
      </c:barChart>
      <c:catAx>
        <c:axId val="123502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44816"/>
        <c:crosses val="autoZero"/>
        <c:auto val="1"/>
        <c:lblAlgn val="ctr"/>
        <c:lblOffset val="100"/>
        <c:noMultiLvlLbl val="0"/>
      </c:catAx>
      <c:valAx>
        <c:axId val="123504481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29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ero" panose="020F05060202030303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ysClr val="windowText" lastClr="000000"/>
                </a:solidFill>
                <a:latin typeface="Pero" panose="020F0506020203030304" pitchFamily="34" charset="0"/>
              </a:rPr>
              <a:t>Share of project components in total</a:t>
            </a:r>
            <a:r>
              <a:rPr lang="en-US" b="1" baseline="0">
                <a:solidFill>
                  <a:sysClr val="windowText" lastClr="000000"/>
                </a:solidFill>
                <a:latin typeface="Pero" panose="020F0506020203030304" pitchFamily="34" charset="0"/>
              </a:rPr>
              <a:t> Present Value </a:t>
            </a:r>
            <a:endParaRPr lang="en-US" b="1">
              <a:solidFill>
                <a:sysClr val="windowText" lastClr="000000"/>
              </a:solidFill>
              <a:latin typeface="Pero" panose="020F05060202030303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percentStacked"/>
        <c:varyColors val="0"/>
        <c:ser>
          <c:idx val="0"/>
          <c:order val="0"/>
          <c:tx>
            <c:strRef>
              <c:f>Summary!$E$51</c:f>
              <c:strCache>
                <c:ptCount val="1"/>
                <c:pt idx="0">
                  <c:v>Coffee </c:v>
                </c:pt>
              </c:strCache>
            </c:strRef>
          </c:tx>
          <c:spPr>
            <a:solidFill>
              <a:srgbClr val="BED2E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Summary!$F$50:$G$50</c:f>
              <c:strCache>
                <c:ptCount val="2"/>
                <c:pt idx="0">
                  <c:v>Kassanda und Mubende</c:v>
                </c:pt>
                <c:pt idx="1">
                  <c:v>Buikwe</c:v>
                </c:pt>
              </c:strCache>
            </c:strRef>
          </c:cat>
          <c:val>
            <c:numRef>
              <c:f>Summary!$F$51:$G$51</c:f>
              <c:numCache>
                <c:formatCode>0%</c:formatCode>
                <c:ptCount val="2"/>
                <c:pt idx="0">
                  <c:v>0.90284374846116877</c:v>
                </c:pt>
                <c:pt idx="1">
                  <c:v>0.80905779312068948</c:v>
                </c:pt>
              </c:numCache>
            </c:numRef>
          </c:val>
          <c:extLst>
            <c:ext xmlns:c16="http://schemas.microsoft.com/office/drawing/2014/chart" uri="{C3380CC4-5D6E-409C-BE32-E72D297353CC}">
              <c16:uniqueId val="{00000000-3981-460C-A592-B8B9884BDF7F}"/>
            </c:ext>
          </c:extLst>
        </c:ser>
        <c:ser>
          <c:idx val="1"/>
          <c:order val="1"/>
          <c:tx>
            <c:strRef>
              <c:f>Summary!$E$52</c:f>
              <c:strCache>
                <c:ptCount val="1"/>
                <c:pt idx="0">
                  <c:v>Chia</c:v>
                </c:pt>
              </c:strCache>
            </c:strRef>
          </c:tx>
          <c:spPr>
            <a:solidFill>
              <a:srgbClr val="DCA591"/>
            </a:solidFill>
            <a:ln>
              <a:noFill/>
            </a:ln>
            <a:effectLst/>
          </c:spPr>
          <c:invertIfNegative val="0"/>
          <c:cat>
            <c:strRef>
              <c:f>Summary!$F$50:$G$50</c:f>
              <c:strCache>
                <c:ptCount val="2"/>
                <c:pt idx="0">
                  <c:v>Kassanda und Mubende</c:v>
                </c:pt>
                <c:pt idx="1">
                  <c:v>Buikwe</c:v>
                </c:pt>
              </c:strCache>
            </c:strRef>
          </c:cat>
          <c:val>
            <c:numRef>
              <c:f>Summary!$F$52:$G$52</c:f>
              <c:numCache>
                <c:formatCode>0%</c:formatCode>
                <c:ptCount val="2"/>
                <c:pt idx="0">
                  <c:v>6.3214078441078535E-4</c:v>
                </c:pt>
                <c:pt idx="1">
                  <c:v>2.1520728355928906E-3</c:v>
                </c:pt>
              </c:numCache>
            </c:numRef>
          </c:val>
          <c:extLst>
            <c:ext xmlns:c16="http://schemas.microsoft.com/office/drawing/2014/chart" uri="{C3380CC4-5D6E-409C-BE32-E72D297353CC}">
              <c16:uniqueId val="{00000001-3981-460C-A592-B8B9884BDF7F}"/>
            </c:ext>
          </c:extLst>
        </c:ser>
        <c:ser>
          <c:idx val="2"/>
          <c:order val="2"/>
          <c:tx>
            <c:strRef>
              <c:f>Summary!$E$53</c:f>
              <c:strCache>
                <c:ptCount val="1"/>
                <c:pt idx="0">
                  <c:v>Macadamia</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Summary!$F$50:$G$50</c:f>
              <c:strCache>
                <c:ptCount val="2"/>
                <c:pt idx="0">
                  <c:v>Kassanda und Mubende</c:v>
                </c:pt>
                <c:pt idx="1">
                  <c:v>Buikwe</c:v>
                </c:pt>
              </c:strCache>
            </c:strRef>
          </c:cat>
          <c:val>
            <c:numRef>
              <c:f>Summary!$F$53:$G$53</c:f>
              <c:numCache>
                <c:formatCode>0%</c:formatCode>
                <c:ptCount val="2"/>
                <c:pt idx="0">
                  <c:v>4.3410637123780993E-3</c:v>
                </c:pt>
                <c:pt idx="1">
                  <c:v>1.1400724755601013E-2</c:v>
                </c:pt>
              </c:numCache>
            </c:numRef>
          </c:val>
          <c:extLst>
            <c:ext xmlns:c16="http://schemas.microsoft.com/office/drawing/2014/chart" uri="{C3380CC4-5D6E-409C-BE32-E72D297353CC}">
              <c16:uniqueId val="{00000002-3981-460C-A592-B8B9884BDF7F}"/>
            </c:ext>
          </c:extLst>
        </c:ser>
        <c:ser>
          <c:idx val="3"/>
          <c:order val="3"/>
          <c:tx>
            <c:strRef>
              <c:f>Summary!$E$54</c:f>
              <c:strCache>
                <c:ptCount val="1"/>
                <c:pt idx="0">
                  <c:v>Trees</c:v>
                </c:pt>
              </c:strCache>
            </c:strRef>
          </c:tx>
          <c:spPr>
            <a:solidFill>
              <a:srgbClr val="CDD2B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Summary!$F$50:$G$50</c:f>
              <c:strCache>
                <c:ptCount val="2"/>
                <c:pt idx="0">
                  <c:v>Kassanda und Mubende</c:v>
                </c:pt>
                <c:pt idx="1">
                  <c:v>Buikwe</c:v>
                </c:pt>
              </c:strCache>
            </c:strRef>
          </c:cat>
          <c:val>
            <c:numRef>
              <c:f>Summary!$F$54:$G$54</c:f>
              <c:numCache>
                <c:formatCode>0%</c:formatCode>
                <c:ptCount val="2"/>
                <c:pt idx="0">
                  <c:v>9.2183047042042471E-2</c:v>
                </c:pt>
                <c:pt idx="1">
                  <c:v>0.17738940928811653</c:v>
                </c:pt>
              </c:numCache>
            </c:numRef>
          </c:val>
          <c:extLst>
            <c:ext xmlns:c16="http://schemas.microsoft.com/office/drawing/2014/chart" uri="{C3380CC4-5D6E-409C-BE32-E72D297353CC}">
              <c16:uniqueId val="{00000003-3981-460C-A592-B8B9884BDF7F}"/>
            </c:ext>
          </c:extLst>
        </c:ser>
        <c:dLbls>
          <c:showLegendKey val="0"/>
          <c:showVal val="0"/>
          <c:showCatName val="0"/>
          <c:showSerName val="0"/>
          <c:showPercent val="0"/>
          <c:showBubbleSize val="0"/>
        </c:dLbls>
        <c:gapWidth val="150"/>
        <c:overlap val="100"/>
        <c:axId val="507131368"/>
        <c:axId val="507136408"/>
      </c:barChart>
      <c:catAx>
        <c:axId val="507131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7136408"/>
        <c:crosses val="autoZero"/>
        <c:auto val="1"/>
        <c:lblAlgn val="ctr"/>
        <c:lblOffset val="100"/>
        <c:noMultiLvlLbl val="0"/>
      </c:catAx>
      <c:valAx>
        <c:axId val="507136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7131368"/>
        <c:crosses val="autoZero"/>
        <c:crossBetween val="between"/>
      </c:valAx>
      <c:spPr>
        <a:noFill/>
        <a:ln>
          <a:solidFill>
            <a:schemeClr val="bg1">
              <a:lumMod val="8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solidFill>
                  <a:sysClr val="windowText" lastClr="000000"/>
                </a:solidFill>
                <a:latin typeface="Pero" panose="020F0506020203030304" pitchFamily="34" charset="0"/>
              </a:rPr>
              <a:t>SROI under different</a:t>
            </a:r>
            <a:r>
              <a:rPr lang="en-US" sz="1200" baseline="0">
                <a:solidFill>
                  <a:sysClr val="windowText" lastClr="000000"/>
                </a:solidFill>
                <a:latin typeface="Pero" panose="020F0506020203030304" pitchFamily="34" charset="0"/>
              </a:rPr>
              <a:t> discount rates</a:t>
            </a:r>
            <a:endParaRPr lang="en-US" sz="1200">
              <a:solidFill>
                <a:sysClr val="windowText" lastClr="000000"/>
              </a:solidFill>
              <a:latin typeface="Pero" panose="020F05060202030303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278937007874015"/>
          <c:y val="0.22215348175382471"/>
          <c:w val="0.82665507436570429"/>
          <c:h val="0.64197297135119524"/>
        </c:manualLayout>
      </c:layout>
      <c:barChart>
        <c:barDir val="bar"/>
        <c:grouping val="clustered"/>
        <c:varyColors val="0"/>
        <c:ser>
          <c:idx val="0"/>
          <c:order val="0"/>
          <c:tx>
            <c:strRef>
              <c:f>'Sensitivity analysis'!$C$21</c:f>
              <c:strCache>
                <c:ptCount val="1"/>
                <c:pt idx="0">
                  <c:v>SROI</c:v>
                </c:pt>
              </c:strCache>
            </c:strRef>
          </c:tx>
          <c:spPr>
            <a:solidFill>
              <a:srgbClr val="BDD1E0"/>
            </a:solidFill>
            <a:ln>
              <a:noFill/>
            </a:ln>
            <a:effectLst/>
          </c:spPr>
          <c:invertIfNegative val="0"/>
          <c:dPt>
            <c:idx val="1"/>
            <c:invertIfNegative val="0"/>
            <c:bubble3D val="0"/>
            <c:spPr>
              <a:solidFill>
                <a:srgbClr val="8B9FC2"/>
              </a:solidFill>
              <a:ln>
                <a:noFill/>
              </a:ln>
              <a:effectLst/>
            </c:spPr>
            <c:extLst>
              <c:ext xmlns:c16="http://schemas.microsoft.com/office/drawing/2014/chart" uri="{C3380CC4-5D6E-409C-BE32-E72D297353CC}">
                <c16:uniqueId val="{00000002-C348-411F-8D2D-641AE3D3031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'Sensitivity analysis'!$B$22:$B$25</c:f>
              <c:numCache>
                <c:formatCode>0%</c:formatCode>
                <c:ptCount val="4"/>
                <c:pt idx="0">
                  <c:v>0.15</c:v>
                </c:pt>
                <c:pt idx="1">
                  <c:v>0.1</c:v>
                </c:pt>
                <c:pt idx="2">
                  <c:v>0.05</c:v>
                </c:pt>
                <c:pt idx="3">
                  <c:v>0</c:v>
                </c:pt>
              </c:numCache>
            </c:numRef>
          </c:cat>
          <c:val>
            <c:numRef>
              <c:f>'Sensitivity analysis'!$C$22:$C$25</c:f>
              <c:numCache>
                <c:formatCode>General</c:formatCode>
                <c:ptCount val="4"/>
                <c:pt idx="0">
                  <c:v>6.9</c:v>
                </c:pt>
                <c:pt idx="1">
                  <c:v>7.9</c:v>
                </c:pt>
                <c:pt idx="2">
                  <c:v>9.1999999999999993</c:v>
                </c:pt>
                <c:pt idx="3">
                  <c:v>10.7</c:v>
                </c:pt>
              </c:numCache>
            </c:numRef>
          </c:val>
          <c:extLst>
            <c:ext xmlns:c16="http://schemas.microsoft.com/office/drawing/2014/chart" uri="{C3380CC4-5D6E-409C-BE32-E72D297353CC}">
              <c16:uniqueId val="{00000000-C348-411F-8D2D-641AE3D30315}"/>
            </c:ext>
          </c:extLst>
        </c:ser>
        <c:dLbls>
          <c:dLblPos val="outEnd"/>
          <c:showLegendKey val="0"/>
          <c:showVal val="1"/>
          <c:showCatName val="0"/>
          <c:showSerName val="0"/>
          <c:showPercent val="0"/>
          <c:showBubbleSize val="0"/>
        </c:dLbls>
        <c:gapWidth val="182"/>
        <c:axId val="1379936552"/>
        <c:axId val="1379926832"/>
      </c:barChart>
      <c:catAx>
        <c:axId val="1379936552"/>
        <c:scaling>
          <c:orientation val="maxMin"/>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solidFill>
                      <a:sysClr val="windowText" lastClr="000000"/>
                    </a:solidFill>
                    <a:latin typeface="Pero" panose="020F0506020203030304" pitchFamily="34" charset="0"/>
                  </a:rPr>
                  <a:t>Discount rate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926832"/>
        <c:crosses val="autoZero"/>
        <c:auto val="1"/>
        <c:lblAlgn val="ctr"/>
        <c:lblOffset val="100"/>
        <c:noMultiLvlLbl val="0"/>
      </c:catAx>
      <c:valAx>
        <c:axId val="1379926832"/>
        <c:scaling>
          <c:orientation val="minMax"/>
        </c:scaling>
        <c:delete val="1"/>
        <c:axPos val="t"/>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solidFill>
                      <a:sysClr val="windowText" lastClr="000000"/>
                    </a:solidFill>
                    <a:latin typeface="Pero" panose="020F0506020203030304" pitchFamily="34" charset="0"/>
                  </a:rPr>
                  <a:t>SROI</a:t>
                </a:r>
              </a:p>
            </c:rich>
          </c:tx>
          <c:layout>
            <c:manualLayout>
              <c:xMode val="edge"/>
              <c:yMode val="edge"/>
              <c:x val="0.51561001749781277"/>
              <c:y val="0.8648646637141342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crossAx val="13799365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Pero"/>
                <a:ea typeface="Pero"/>
                <a:cs typeface="Pero"/>
              </a:defRPr>
            </a:pPr>
            <a:r>
              <a:rPr lang="en-US" sz="1200" b="0">
                <a:solidFill>
                  <a:sysClr val="windowText" lastClr="000000"/>
                </a:solidFill>
              </a:rPr>
              <a:t>SROI with different non-implementation cost-shares deducted</a:t>
            </a:r>
            <a:r>
              <a:rPr lang="en-US" sz="1200" b="0" baseline="0">
                <a:solidFill>
                  <a:sysClr val="windowText" lastClr="000000"/>
                </a:solidFill>
              </a:rPr>
              <a:t> from total grant amount</a:t>
            </a:r>
            <a:endParaRPr lang="en-US" sz="1200" b="0">
              <a:solidFill>
                <a:sysClr val="windowText" lastClr="000000"/>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Pero"/>
              <a:ea typeface="Pero"/>
              <a:cs typeface="Pero"/>
            </a:defRPr>
          </a:pPr>
          <a:endParaRPr lang="en-US"/>
        </a:p>
      </c:txPr>
    </c:title>
    <c:autoTitleDeleted val="0"/>
    <c:plotArea>
      <c:layout>
        <c:manualLayout>
          <c:layoutTarget val="inner"/>
          <c:xMode val="edge"/>
          <c:yMode val="edge"/>
          <c:x val="0.15210724517558874"/>
          <c:y val="0.30700326594105154"/>
          <c:w val="0.8412713386027052"/>
          <c:h val="0.58095201125036833"/>
        </c:manualLayout>
      </c:layout>
      <c:barChart>
        <c:barDir val="bar"/>
        <c:grouping val="clustered"/>
        <c:varyColors val="0"/>
        <c:ser>
          <c:idx val="0"/>
          <c:order val="0"/>
          <c:spPr>
            <a:solidFill>
              <a:srgbClr val="BDD1E0"/>
            </a:solidFill>
            <a:ln>
              <a:noFill/>
            </a:ln>
            <a:effectLst/>
          </c:spPr>
          <c:invertIfNegative val="0"/>
          <c:dPt>
            <c:idx val="0"/>
            <c:invertIfNegative val="0"/>
            <c:bubble3D val="0"/>
            <c:spPr>
              <a:solidFill>
                <a:srgbClr val="BED2E1"/>
              </a:solidFill>
              <a:ln>
                <a:noFill/>
              </a:ln>
              <a:effectLst/>
            </c:spPr>
            <c:extLst>
              <c:ext xmlns:c16="http://schemas.microsoft.com/office/drawing/2014/chart" uri="{C3380CC4-5D6E-409C-BE32-E72D297353CC}">
                <c16:uniqueId val="{00000001-BBC0-4251-A574-1F8F27DCD95A}"/>
              </c:ext>
            </c:extLst>
          </c:dPt>
          <c:dPt>
            <c:idx val="2"/>
            <c:invertIfNegative val="0"/>
            <c:bubble3D val="0"/>
            <c:spPr>
              <a:solidFill>
                <a:srgbClr val="8B9FC2"/>
              </a:solidFill>
              <a:ln>
                <a:noFill/>
              </a:ln>
              <a:effectLst/>
            </c:spPr>
            <c:extLst>
              <c:ext xmlns:c16="http://schemas.microsoft.com/office/drawing/2014/chart" uri="{C3380CC4-5D6E-409C-BE32-E72D297353CC}">
                <c16:uniqueId val="{00000002-6C24-4974-ACD2-92EF6CCCF8E8}"/>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'Sensitivity analysis'!$E$22:$E$24</c:f>
              <c:numCache>
                <c:formatCode>0%</c:formatCode>
                <c:ptCount val="3"/>
                <c:pt idx="0">
                  <c:v>0.15</c:v>
                </c:pt>
                <c:pt idx="1">
                  <c:v>0.1</c:v>
                </c:pt>
                <c:pt idx="2">
                  <c:v>0</c:v>
                </c:pt>
              </c:numCache>
            </c:numRef>
          </c:cat>
          <c:val>
            <c:numRef>
              <c:f>'Sensitivity analysis'!$F$22:$F$24</c:f>
              <c:numCache>
                <c:formatCode>General</c:formatCode>
                <c:ptCount val="3"/>
                <c:pt idx="0">
                  <c:v>9.3000000000000007</c:v>
                </c:pt>
                <c:pt idx="1">
                  <c:v>8.8000000000000007</c:v>
                </c:pt>
                <c:pt idx="2">
                  <c:v>7.9</c:v>
                </c:pt>
              </c:numCache>
            </c:numRef>
          </c:val>
          <c:extLst>
            <c:ext xmlns:c16="http://schemas.microsoft.com/office/drawing/2014/chart" uri="{C3380CC4-5D6E-409C-BE32-E72D297353CC}">
              <c16:uniqueId val="{00000000-BBC0-4251-A574-1F8F27DCD95A}"/>
            </c:ext>
          </c:extLst>
        </c:ser>
        <c:dLbls>
          <c:showLegendKey val="0"/>
          <c:showVal val="0"/>
          <c:showCatName val="0"/>
          <c:showSerName val="0"/>
          <c:showPercent val="0"/>
          <c:showBubbleSize val="0"/>
        </c:dLbls>
        <c:gapWidth val="182"/>
        <c:axId val="1160572256"/>
        <c:axId val="1160573696"/>
      </c:barChart>
      <c:catAx>
        <c:axId val="1160572256"/>
        <c:scaling>
          <c:orientation val="maxMin"/>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ero"/>
                    <a:ea typeface="Pero"/>
                    <a:cs typeface="Pero"/>
                  </a:defRPr>
                </a:pPr>
                <a:r>
                  <a:rPr lang="en-US">
                    <a:solidFill>
                      <a:sysClr val="windowText" lastClr="000000"/>
                    </a:solidFill>
                  </a:rPr>
                  <a:t>Non-implementation cost share</a:t>
                </a:r>
              </a:p>
            </c:rich>
          </c:tx>
          <c:layout>
            <c:manualLayout>
              <c:xMode val="edge"/>
              <c:yMode val="edge"/>
              <c:x val="2.5047213003609545E-3"/>
              <c:y val="0.1965632091530252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Pero"/>
                  <a:ea typeface="Pero"/>
                  <a:cs typeface="Pero"/>
                </a:defRPr>
              </a:pPr>
              <a:endParaRPr lang="en-US"/>
            </a:p>
          </c:txPr>
        </c:title>
        <c:numFmt formatCode="0%"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a:ea typeface="Calibri"/>
                <a:cs typeface="Calibri"/>
              </a:defRPr>
            </a:pPr>
            <a:endParaRPr lang="en-US"/>
          </a:p>
        </c:txPr>
        <c:crossAx val="1160573696"/>
        <c:crosses val="autoZero"/>
        <c:auto val="1"/>
        <c:lblAlgn val="ctr"/>
        <c:lblOffset val="100"/>
        <c:noMultiLvlLbl val="0"/>
      </c:catAx>
      <c:valAx>
        <c:axId val="1160573696"/>
        <c:scaling>
          <c:orientation val="minMax"/>
        </c:scaling>
        <c:delete val="1"/>
        <c:axPos val="t"/>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Pero"/>
                    <a:ea typeface="Pero"/>
                    <a:cs typeface="Pero"/>
                  </a:defRPr>
                </a:pPr>
                <a:r>
                  <a:rPr lang="en-US">
                    <a:solidFill>
                      <a:sysClr val="windowText" lastClr="000000"/>
                    </a:solidFill>
                  </a:rPr>
                  <a:t>SROI</a:t>
                </a:r>
              </a:p>
            </c:rich>
          </c:tx>
          <c:layout>
            <c:manualLayout>
              <c:xMode val="edge"/>
              <c:yMode val="edge"/>
              <c:x val="0.50175242233047201"/>
              <c:y val="0.8765598373085017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Pero"/>
                  <a:ea typeface="Pero"/>
                  <a:cs typeface="Pero"/>
                </a:defRPr>
              </a:pPr>
              <a:endParaRPr lang="en-US"/>
            </a:p>
          </c:txPr>
        </c:title>
        <c:numFmt formatCode="0.0" sourceLinked="0"/>
        <c:majorTickMark val="none"/>
        <c:minorTickMark val="none"/>
        <c:tickLblPos val="nextTo"/>
        <c:crossAx val="11605722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3.xm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263706</xdr:colOff>
      <xdr:row>63</xdr:row>
      <xdr:rowOff>43544</xdr:rowOff>
    </xdr:from>
    <xdr:to>
      <xdr:col>10</xdr:col>
      <xdr:colOff>339907</xdr:colOff>
      <xdr:row>82</xdr:row>
      <xdr:rowOff>57149</xdr:rowOff>
    </xdr:to>
    <xdr:graphicFrame macro="">
      <xdr:nvGraphicFramePr>
        <xdr:cNvPr id="2" name="Chart 5">
          <a:extLst>
            <a:ext uri="{FF2B5EF4-FFF2-40B4-BE49-F238E27FC236}">
              <a16:creationId xmlns:a16="http://schemas.microsoft.com/office/drawing/2014/main" id="{EA3ABE86-536E-40CE-A8D2-D59202229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114159</xdr:colOff>
      <xdr:row>5</xdr:row>
      <xdr:rowOff>16323</xdr:rowOff>
    </xdr:from>
    <xdr:to>
      <xdr:col>11</xdr:col>
      <xdr:colOff>163829</xdr:colOff>
      <xdr:row>17</xdr:row>
      <xdr:rowOff>510540</xdr:rowOff>
    </xdr:to>
    <xdr:sp macro="" textlink="">
      <xdr:nvSpPr>
        <xdr:cNvPr id="3" name="TextBox 2">
          <a:extLst>
            <a:ext uri="{FF2B5EF4-FFF2-40B4-BE49-F238E27FC236}">
              <a16:creationId xmlns:a16="http://schemas.microsoft.com/office/drawing/2014/main" id="{43D434B4-9423-4756-A90D-64634B3DBD27}"/>
            </a:ext>
          </a:extLst>
        </xdr:cNvPr>
        <xdr:cNvSpPr txBox="1"/>
      </xdr:nvSpPr>
      <xdr:spPr>
        <a:xfrm>
          <a:off x="7536039" y="1486983"/>
          <a:ext cx="5543690" cy="3130737"/>
        </a:xfrm>
        <a:prstGeom prst="rect">
          <a:avLst/>
        </a:prstGeom>
        <a:solidFill>
          <a:sysClr val="window" lastClr="FFFFFF"/>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u="none" strike="noStrike" baseline="0">
              <a:solidFill>
                <a:schemeClr val="dk1"/>
              </a:solidFill>
              <a:latin typeface="Pero" panose="020F0506020203030304" pitchFamily="34" charset="0"/>
              <a:ea typeface="+mn-ea"/>
              <a:cs typeface="+mn-cs"/>
            </a:rPr>
            <a:t>HWG Summary/Interpretation: </a:t>
          </a:r>
        </a:p>
        <a:p>
          <a:pPr marL="171450" indent="-171450">
            <a:buFont typeface="Arial" panose="020B0604020202020204" pitchFamily="34" charset="0"/>
            <a:buChar char="•"/>
          </a:pPr>
          <a:r>
            <a:rPr lang="en-US" sz="1100" b="0" i="0" u="none" strike="noStrike" baseline="0">
              <a:solidFill>
                <a:schemeClr val="dk1"/>
              </a:solidFill>
              <a:latin typeface="Pero" panose="020F0506020203030304" pitchFamily="34" charset="0"/>
              <a:ea typeface="+mn-ea"/>
              <a:cs typeface="+mn-cs"/>
            </a:rPr>
            <a:t>The SROI forecast model ist based on historic OAF data on the yield benefits of its program in Eastern Uganda.</a:t>
          </a:r>
        </a:p>
        <a:p>
          <a:pPr marL="171450" indent="-171450">
            <a:buFont typeface="Arial" panose="020B0604020202020204" pitchFamily="34" charset="0"/>
            <a:buChar char="•"/>
          </a:pPr>
          <a:r>
            <a:rPr lang="en-US" sz="1100" b="0" i="0" u="none" strike="noStrike" baseline="0">
              <a:solidFill>
                <a:schemeClr val="dk1"/>
              </a:solidFill>
              <a:latin typeface="Pero" panose="020F0506020203030304" pitchFamily="34" charset="0"/>
              <a:ea typeface="+mn-ea"/>
              <a:cs typeface="+mn-cs"/>
            </a:rPr>
            <a:t>The model compares the </a:t>
          </a:r>
          <a:r>
            <a:rPr lang="en-US" sz="1100" b="1" i="0" u="none" strike="noStrike" baseline="0">
              <a:solidFill>
                <a:schemeClr val="dk1"/>
              </a:solidFill>
              <a:latin typeface="Pero" panose="020F0506020203030304" pitchFamily="34" charset="0"/>
              <a:ea typeface="+mn-ea"/>
              <a:cs typeface="+mn-cs"/>
            </a:rPr>
            <a:t>estimated present value of total program benefits over a 10 year timeframe of 22.7 mill EUR with the present value of total implementation costs (to allow 3-years of programming for all enrolled households) of 2.9 mill EUR </a:t>
          </a:r>
          <a:r>
            <a:rPr lang="en-US" sz="1100" b="0" i="0" u="none" strike="noStrike" baseline="0">
              <a:solidFill>
                <a:schemeClr val="dk1"/>
              </a:solidFill>
              <a:latin typeface="Pero" panose="020F0506020203030304" pitchFamily="34" charset="0"/>
              <a:ea typeface="+mn-ea"/>
              <a:cs typeface="+mn-cs"/>
            </a:rPr>
            <a:t>(values are discounted and deflated to real 2021 EUR).</a:t>
          </a:r>
        </a:p>
        <a:p>
          <a:pPr marL="171450" indent="-171450">
            <a:buFont typeface="Arial" panose="020B0604020202020204" pitchFamily="34" charset="0"/>
            <a:buChar char="•"/>
          </a:pPr>
          <a:r>
            <a:rPr lang="en-US" sz="1100" b="0" i="0" u="none" strike="noStrike" baseline="0">
              <a:solidFill>
                <a:schemeClr val="dk1"/>
              </a:solidFill>
              <a:latin typeface="Pero" panose="020F0506020203030304" pitchFamily="34" charset="0"/>
              <a:ea typeface="+mn-ea"/>
              <a:cs typeface="+mn-cs"/>
            </a:rPr>
            <a:t>The preliminary SROI result of 7.9 shows that under current assumptions, for every EUR invested, 7.9 EUR additional household income is created - avery strong retun on investment.</a:t>
          </a:r>
        </a:p>
        <a:p>
          <a:pPr marL="171450" indent="-171450">
            <a:buFont typeface="Arial" panose="020B0604020202020204" pitchFamily="34" charset="0"/>
            <a:buChar char="•"/>
          </a:pPr>
          <a:r>
            <a:rPr lang="en-US" sz="1100" b="0" i="0" u="none" strike="noStrike" baseline="0">
              <a:solidFill>
                <a:schemeClr val="dk1"/>
              </a:solidFill>
              <a:latin typeface="Pero" panose="020F0506020203030304" pitchFamily="34" charset="0"/>
              <a:ea typeface="+mn-ea"/>
              <a:cs typeface="+mn-cs"/>
            </a:rPr>
            <a:t>Program benefits are primarily generated through OAF's coffee and tree program. Chia and macadamia only generate small benefits for the average farming household over the considered 10 year timeframe.</a:t>
          </a:r>
        </a:p>
        <a:p>
          <a:pPr marL="171450" indent="-171450">
            <a:buFont typeface="Arial" panose="020B0604020202020204" pitchFamily="34" charset="0"/>
            <a:buChar char="•"/>
          </a:pPr>
          <a:r>
            <a:rPr lang="en-US" sz="1100" b="0" i="0" u="none" strike="noStrike" baseline="0">
              <a:solidFill>
                <a:schemeClr val="dk1"/>
              </a:solidFill>
              <a:latin typeface="Pero" panose="020F0506020203030304" pitchFamily="34" charset="0"/>
              <a:ea typeface="+mn-ea"/>
              <a:cs typeface="+mn-cs"/>
            </a:rPr>
            <a:t>The number of coffee trees per household is a major driver of program impact (through increased productivity of coffee trees).  In Buikwe, where  average farm size is about half the size of farms in Kassanda and Mubende, the total present value of program benefits per household (241 EUR) is much smaller than in Kassanda and Mubende (609 EUR).</a:t>
          </a:r>
        </a:p>
      </xdr:txBody>
    </xdr:sp>
    <xdr:clientData/>
  </xdr:twoCellAnchor>
  <xdr:twoCellAnchor>
    <xdr:from>
      <xdr:col>0</xdr:col>
      <xdr:colOff>277268</xdr:colOff>
      <xdr:row>45</xdr:row>
      <xdr:rowOff>18551</xdr:rowOff>
    </xdr:from>
    <xdr:to>
      <xdr:col>2</xdr:col>
      <xdr:colOff>3718832</xdr:colOff>
      <xdr:row>62</xdr:row>
      <xdr:rowOff>1363</xdr:rowOff>
    </xdr:to>
    <xdr:graphicFrame macro="">
      <xdr:nvGraphicFramePr>
        <xdr:cNvPr id="5" name="Chart 4">
          <a:extLst>
            <a:ext uri="{FF2B5EF4-FFF2-40B4-BE49-F238E27FC236}">
              <a16:creationId xmlns:a16="http://schemas.microsoft.com/office/drawing/2014/main" id="{1E674E25-AF08-451B-B753-588C00716D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106305</xdr:colOff>
      <xdr:row>19</xdr:row>
      <xdr:rowOff>217897</xdr:rowOff>
    </xdr:from>
    <xdr:to>
      <xdr:col>11</xdr:col>
      <xdr:colOff>161925</xdr:colOff>
      <xdr:row>26</xdr:row>
      <xdr:rowOff>171450</xdr:rowOff>
    </xdr:to>
    <xdr:sp macro="" textlink="">
      <xdr:nvSpPr>
        <xdr:cNvPr id="7" name="TextBox 2">
          <a:extLst>
            <a:ext uri="{FF2B5EF4-FFF2-40B4-BE49-F238E27FC236}">
              <a16:creationId xmlns:a16="http://schemas.microsoft.com/office/drawing/2014/main" id="{5D16EE65-0F50-48DF-8D65-863AB3F83E21}"/>
            </a:ext>
          </a:extLst>
        </xdr:cNvPr>
        <xdr:cNvSpPr txBox="1"/>
      </xdr:nvSpPr>
      <xdr:spPr>
        <a:xfrm>
          <a:off x="6421380" y="5047072"/>
          <a:ext cx="6685020" cy="164900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*Level of certainty: Low</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u="sng" baseline="0">
              <a:solidFill>
                <a:schemeClr val="dk1"/>
              </a:solidFill>
              <a:effectLst/>
              <a:latin typeface="Pero" panose="020F0506020203030304" pitchFamily="34" charset="0"/>
              <a:ea typeface="+mn-ea"/>
              <a:cs typeface="+mn-cs"/>
            </a:rPr>
            <a:t>Evidence strength</a:t>
          </a:r>
          <a:r>
            <a:rPr lang="en-US" sz="1100" b="0" i="0" baseline="0">
              <a:solidFill>
                <a:schemeClr val="dk1"/>
              </a:solidFill>
              <a:effectLst/>
              <a:latin typeface="Pero" panose="020F0506020203030304" pitchFamily="34" charset="0"/>
              <a:ea typeface="+mn-ea"/>
              <a:cs typeface="+mn-cs"/>
            </a:rPr>
            <a:t>: Modeled income based on physically measured and self-reported historic values for intermediate outcomes. Comparison of matched OAF and non-OAF farmers from identical parishes (selection bias likely). Data mostly from Eastern Uganda (Mukono/Buikwe).</a:t>
          </a:r>
        </a:p>
        <a:p>
          <a:pPr algn="l" eaLnBrk="1" fontAlgn="auto" latinLnBrk="0" hangingPunct="1"/>
          <a:r>
            <a:rPr lang="en-US" sz="1100" b="0" i="0" u="sng" baseline="0">
              <a:solidFill>
                <a:schemeClr val="dk1"/>
              </a:solidFill>
              <a:effectLst/>
              <a:latin typeface="Pero" panose="020F0506020203030304" pitchFamily="34" charset="0"/>
              <a:ea typeface="+mn-ea"/>
              <a:cs typeface="+mn-cs"/>
            </a:rPr>
            <a:t>Precision of impact estimates</a:t>
          </a:r>
          <a:r>
            <a:rPr lang="en-US" sz="1100" b="0" i="0" baseline="0">
              <a:solidFill>
                <a:schemeClr val="dk1"/>
              </a:solidFill>
              <a:effectLst/>
              <a:latin typeface="Pero" panose="020F0506020203030304" pitchFamily="34" charset="0"/>
              <a:ea typeface="+mn-ea"/>
              <a:cs typeface="+mn-cs"/>
            </a:rPr>
            <a:t>: no info</a:t>
          </a:r>
          <a:endParaRPr lang="en-US" sz="1050">
            <a:effectLst/>
            <a:latin typeface="Pero" panose="020F0506020203030304" pitchFamily="34" charset="0"/>
          </a:endParaRPr>
        </a:p>
        <a:p>
          <a:pPr eaLnBrk="1" fontAlgn="auto" latinLnBrk="0" hangingPunct="1"/>
          <a:r>
            <a:rPr lang="en-US" sz="1100" b="0" i="0" u="sng" baseline="0">
              <a:solidFill>
                <a:schemeClr val="dk1"/>
              </a:solidFill>
              <a:effectLst/>
              <a:latin typeface="Pero" panose="020F0506020203030304" pitchFamily="34" charset="0"/>
              <a:ea typeface="+mn-ea"/>
              <a:cs typeface="+mn-cs"/>
            </a:rPr>
            <a:t>Assumptions</a:t>
          </a:r>
          <a:r>
            <a:rPr lang="en-US" sz="1100" b="0" i="0" baseline="0">
              <a:solidFill>
                <a:schemeClr val="dk1"/>
              </a:solidFill>
              <a:effectLst/>
              <a:latin typeface="Pero" panose="020F0506020203030304" pitchFamily="34" charset="0"/>
              <a:ea typeface="+mn-ea"/>
              <a:cs typeface="+mn-cs"/>
            </a:rPr>
            <a:t>: Most key assumptions empirically grounded. Major uncertainty regarding treatment effects over time.</a:t>
          </a:r>
          <a:endParaRPr lang="en-US" sz="1050">
            <a:effectLst/>
            <a:latin typeface="Pero" panose="020F0506020203030304" pitchFamily="34" charset="0"/>
          </a:endParaRPr>
        </a:p>
        <a:p>
          <a:pPr eaLnBrk="1" fontAlgn="auto" latinLnBrk="0" hangingPunct="1"/>
          <a:r>
            <a:rPr lang="en-US" sz="1100" b="0" i="0" u="sng" baseline="0">
              <a:solidFill>
                <a:schemeClr val="dk1"/>
              </a:solidFill>
              <a:effectLst/>
              <a:latin typeface="Pero" panose="020F0506020203030304" pitchFamily="34" charset="0"/>
              <a:ea typeface="+mn-ea"/>
              <a:cs typeface="+mn-cs"/>
            </a:rPr>
            <a:t>Sensitivity</a:t>
          </a:r>
          <a:r>
            <a:rPr lang="en-US" sz="1100" b="0" i="0" baseline="0">
              <a:solidFill>
                <a:schemeClr val="dk1"/>
              </a:solidFill>
              <a:effectLst/>
              <a:latin typeface="Pero" panose="020F0506020203030304" pitchFamily="34" charset="0"/>
              <a:ea typeface="+mn-ea"/>
              <a:cs typeface="+mn-cs"/>
            </a:rPr>
            <a:t>: SROI values are moderately sensitive to key parameters. SROI values remain very positive.</a:t>
          </a:r>
          <a:endParaRPr lang="en-US" sz="1050">
            <a:effectLst/>
            <a:latin typeface="Pero" panose="020F0506020203030304" pitchFamily="34" charset="0"/>
          </a:endParaRPr>
        </a:p>
        <a:p>
          <a:r>
            <a:rPr lang="en-US" sz="1050" b="1" i="0" u="none" strike="noStrike" baseline="0">
              <a:solidFill>
                <a:schemeClr val="dk1"/>
              </a:solidFill>
              <a:latin typeface="Pero" panose="020F0506020203030304" pitchFamily="34" charset="0"/>
              <a:ea typeface="+mn-ea"/>
              <a:cs typeface="+mn-cs"/>
            </a:rPr>
            <a:t> </a:t>
          </a:r>
          <a:endParaRPr lang="en-US" sz="1050" b="0" i="0" u="none" strike="noStrike" baseline="0">
            <a:solidFill>
              <a:schemeClr val="dk1"/>
            </a:solidFill>
            <a:latin typeface="Pero" panose="020F0506020203030304" pitchFamily="34" charset="0"/>
            <a:ea typeface="+mn-ea"/>
            <a:cs typeface="+mn-cs"/>
          </a:endParaRPr>
        </a:p>
      </xdr:txBody>
    </xdr:sp>
    <xdr:clientData/>
  </xdr:twoCellAnchor>
  <xdr:twoCellAnchor>
    <xdr:from>
      <xdr:col>3</xdr:col>
      <xdr:colOff>223641</xdr:colOff>
      <xdr:row>30</xdr:row>
      <xdr:rowOff>217444</xdr:rowOff>
    </xdr:from>
    <xdr:to>
      <xdr:col>10</xdr:col>
      <xdr:colOff>433378</xdr:colOff>
      <xdr:row>35</xdr:row>
      <xdr:rowOff>188568</xdr:rowOff>
    </xdr:to>
    <xdr:sp macro="" textlink="">
      <xdr:nvSpPr>
        <xdr:cNvPr id="8" name="TextBox 2">
          <a:extLst>
            <a:ext uri="{FF2B5EF4-FFF2-40B4-BE49-F238E27FC236}">
              <a16:creationId xmlns:a16="http://schemas.microsoft.com/office/drawing/2014/main" id="{69890110-78EE-4485-B531-6867D31A1642}"/>
            </a:ext>
          </a:extLst>
        </xdr:cNvPr>
        <xdr:cNvSpPr txBox="1"/>
      </xdr:nvSpPr>
      <xdr:spPr>
        <a:xfrm>
          <a:off x="6533001" y="6717304"/>
          <a:ext cx="6252397" cy="111412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050" b="1" i="0" u="none" strike="noStrike" baseline="0">
              <a:solidFill>
                <a:schemeClr val="dk1"/>
              </a:solidFill>
              <a:latin typeface="Pero" panose="020F0506020203030304" pitchFamily="34" charset="0"/>
              <a:ea typeface="+mn-ea"/>
              <a:cs typeface="+mn-cs"/>
            </a:rPr>
            <a:t>*Methodological rigor: Good</a:t>
          </a:r>
        </a:p>
        <a:p>
          <a:pPr algn="l"/>
          <a:r>
            <a:rPr lang="en-US" sz="1050" b="0" i="0" u="none" strike="noStrike" baseline="0">
              <a:solidFill>
                <a:schemeClr val="dk1"/>
              </a:solidFill>
              <a:latin typeface="Pero" panose="020F0506020203030304" pitchFamily="34" charset="0"/>
              <a:ea typeface="+mn-ea"/>
              <a:cs typeface="+mn-cs"/>
            </a:rPr>
            <a:t>Non-random assignment of parishes to implementation cohort by OAF based on operational feasibility. Cohorts are well-balanced across all observable key socio-demographic characteristics at baseline. </a:t>
          </a:r>
        </a:p>
        <a:p>
          <a:pPr algn="l"/>
          <a:r>
            <a:rPr lang="en-US" sz="1050" b="0" i="0" u="none" strike="noStrike" baseline="0">
              <a:solidFill>
                <a:schemeClr val="dk1"/>
              </a:solidFill>
              <a:latin typeface="Pero" panose="020F0506020203030304" pitchFamily="34" charset="0"/>
              <a:ea typeface="+mn-ea"/>
              <a:cs typeface="+mn-cs"/>
            </a:rPr>
            <a:t>Limited number of clusters (ideally n&gt;50)</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Well-defined adoption metrics that cover adoption status and intensity. Physical coffee yield meansurement by OAF.</a:t>
          </a:r>
        </a:p>
      </xdr:txBody>
    </xdr:sp>
    <xdr:clientData/>
  </xdr:twoCellAnchor>
  <xdr:twoCellAnchor editAs="oneCell">
    <xdr:from>
      <xdr:col>8</xdr:col>
      <xdr:colOff>259376</xdr:colOff>
      <xdr:row>1</xdr:row>
      <xdr:rowOff>95250</xdr:rowOff>
    </xdr:from>
    <xdr:to>
      <xdr:col>11</xdr:col>
      <xdr:colOff>15537</xdr:colOff>
      <xdr:row>1</xdr:row>
      <xdr:rowOff>628650</xdr:rowOff>
    </xdr:to>
    <xdr:pic>
      <xdr:nvPicPr>
        <xdr:cNvPr id="11" name="Picture 10">
          <a:extLst>
            <a:ext uri="{FF2B5EF4-FFF2-40B4-BE49-F238E27FC236}">
              <a16:creationId xmlns:a16="http://schemas.microsoft.com/office/drawing/2014/main" id="{84A84575-B1F4-479A-27E8-BD36249D7870}"/>
            </a:ext>
          </a:extLst>
        </xdr:cNvPr>
        <xdr:cNvPicPr>
          <a:picLocks noChangeAspect="1"/>
        </xdr:cNvPicPr>
      </xdr:nvPicPr>
      <xdr:blipFill>
        <a:blip xmlns:r="http://schemas.openxmlformats.org/officeDocument/2006/relationships" r:embed="rId3"/>
        <a:stretch>
          <a:fillRect/>
        </a:stretch>
      </xdr:blipFill>
      <xdr:spPr>
        <a:xfrm>
          <a:off x="9879626" y="285750"/>
          <a:ext cx="1493521" cy="533400"/>
        </a:xfrm>
        <a:prstGeom prst="rect">
          <a:avLst/>
        </a:prstGeom>
      </xdr:spPr>
    </xdr:pic>
    <xdr:clientData/>
  </xdr:twoCellAnchor>
  <xdr:twoCellAnchor editAs="oneCell">
    <xdr:from>
      <xdr:col>4</xdr:col>
      <xdr:colOff>253944</xdr:colOff>
      <xdr:row>1</xdr:row>
      <xdr:rowOff>9525</xdr:rowOff>
    </xdr:from>
    <xdr:to>
      <xdr:col>6</xdr:col>
      <xdr:colOff>667136</xdr:colOff>
      <xdr:row>1</xdr:row>
      <xdr:rowOff>588645</xdr:rowOff>
    </xdr:to>
    <xdr:pic>
      <xdr:nvPicPr>
        <xdr:cNvPr id="12" name="Picture 11">
          <a:extLst>
            <a:ext uri="{FF2B5EF4-FFF2-40B4-BE49-F238E27FC236}">
              <a16:creationId xmlns:a16="http://schemas.microsoft.com/office/drawing/2014/main" id="{7945422E-0410-DCF5-FFA3-2A964C3C01E7}"/>
            </a:ext>
          </a:extLst>
        </xdr:cNvPr>
        <xdr:cNvPicPr>
          <a:picLocks noChangeAspect="1"/>
        </xdr:cNvPicPr>
      </xdr:nvPicPr>
      <xdr:blipFill>
        <a:blip xmlns:r="http://schemas.openxmlformats.org/officeDocument/2006/relationships" r:embed="rId4"/>
        <a:stretch>
          <a:fillRect/>
        </a:stretch>
      </xdr:blipFill>
      <xdr:spPr>
        <a:xfrm>
          <a:off x="7464369" y="200025"/>
          <a:ext cx="2175317" cy="590550"/>
        </a:xfrm>
        <a:prstGeom prst="rect">
          <a:avLst/>
        </a:prstGeom>
      </xdr:spPr>
    </xdr:pic>
    <xdr:clientData/>
  </xdr:twoCellAnchor>
  <xdr:twoCellAnchor>
    <xdr:from>
      <xdr:col>3</xdr:col>
      <xdr:colOff>504825</xdr:colOff>
      <xdr:row>46</xdr:row>
      <xdr:rowOff>58102</xdr:rowOff>
    </xdr:from>
    <xdr:to>
      <xdr:col>8</xdr:col>
      <xdr:colOff>352425</xdr:colOff>
      <xdr:row>60</xdr:row>
      <xdr:rowOff>134302</xdr:rowOff>
    </xdr:to>
    <xdr:graphicFrame macro="">
      <xdr:nvGraphicFramePr>
        <xdr:cNvPr id="4" name="Chart 3">
          <a:extLst>
            <a:ext uri="{FF2B5EF4-FFF2-40B4-BE49-F238E27FC236}">
              <a16:creationId xmlns:a16="http://schemas.microsoft.com/office/drawing/2014/main" id="{D009F255-D887-4D56-BC4B-D6A962ABD7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552450</xdr:colOff>
      <xdr:row>1</xdr:row>
      <xdr:rowOff>182792</xdr:rowOff>
    </xdr:from>
    <xdr:to>
      <xdr:col>24</xdr:col>
      <xdr:colOff>244928</xdr:colOff>
      <xdr:row>41</xdr:row>
      <xdr:rowOff>182336</xdr:rowOff>
    </xdr:to>
    <xdr:pic>
      <xdr:nvPicPr>
        <xdr:cNvPr id="4" name="Picture 3">
          <a:extLst>
            <a:ext uri="{FF2B5EF4-FFF2-40B4-BE49-F238E27FC236}">
              <a16:creationId xmlns:a16="http://schemas.microsoft.com/office/drawing/2014/main" id="{311A37E1-081A-FE2C-FE6D-32334A7543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420917"/>
          <a:ext cx="12836978" cy="7619544"/>
        </a:xfrm>
        <a:prstGeom prst="rect">
          <a:avLst/>
        </a:prstGeom>
      </xdr:spPr>
    </xdr:pic>
    <xdr:clientData/>
  </xdr:twoCellAnchor>
  <xdr:twoCellAnchor editAs="oneCell">
    <xdr:from>
      <xdr:col>0</xdr:col>
      <xdr:colOff>47626</xdr:colOff>
      <xdr:row>46</xdr:row>
      <xdr:rowOff>161926</xdr:rowOff>
    </xdr:from>
    <xdr:to>
      <xdr:col>23</xdr:col>
      <xdr:colOff>285751</xdr:colOff>
      <xdr:row>86</xdr:row>
      <xdr:rowOff>60526</xdr:rowOff>
    </xdr:to>
    <xdr:pic>
      <xdr:nvPicPr>
        <xdr:cNvPr id="2" name="Picture 1">
          <a:extLst>
            <a:ext uri="{FF2B5EF4-FFF2-40B4-BE49-F238E27FC236}">
              <a16:creationId xmlns:a16="http://schemas.microsoft.com/office/drawing/2014/main" id="{1CA00D83-A47D-6135-889B-5823BC2E8201}"/>
            </a:ext>
          </a:extLst>
        </xdr:cNvPr>
        <xdr:cNvPicPr>
          <a:picLocks noChangeAspect="1"/>
        </xdr:cNvPicPr>
      </xdr:nvPicPr>
      <xdr:blipFill>
        <a:blip xmlns:r="http://schemas.openxmlformats.org/officeDocument/2006/relationships" r:embed="rId2"/>
        <a:stretch>
          <a:fillRect/>
        </a:stretch>
      </xdr:blipFill>
      <xdr:spPr>
        <a:xfrm>
          <a:off x="47626" y="9020176"/>
          <a:ext cx="13068300" cy="7518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381000</xdr:colOff>
      <xdr:row>18</xdr:row>
      <xdr:rowOff>147638</xdr:rowOff>
    </xdr:from>
    <xdr:to>
      <xdr:col>3</xdr:col>
      <xdr:colOff>60960</xdr:colOff>
      <xdr:row>30</xdr:row>
      <xdr:rowOff>28576</xdr:rowOff>
    </xdr:to>
    <xdr:graphicFrame macro="">
      <xdr:nvGraphicFramePr>
        <xdr:cNvPr id="3" name="Chart 2">
          <a:extLst>
            <a:ext uri="{FF2B5EF4-FFF2-40B4-BE49-F238E27FC236}">
              <a16:creationId xmlns:a16="http://schemas.microsoft.com/office/drawing/2014/main" id="{23C11C7F-3F7F-AB8D-CC2D-CBA2651397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529590</xdr:colOff>
      <xdr:row>18</xdr:row>
      <xdr:rowOff>139067</xdr:rowOff>
    </xdr:from>
    <xdr:to>
      <xdr:col>9</xdr:col>
      <xdr:colOff>512445</xdr:colOff>
      <xdr:row>30</xdr:row>
      <xdr:rowOff>41910</xdr:rowOff>
    </xdr:to>
    <xdr:graphicFrame macro="">
      <xdr:nvGraphicFramePr>
        <xdr:cNvPr id="7" name="NCIS_SROI_Chart">
          <a:extLst>
            <a:ext uri="{FF2B5EF4-FFF2-40B4-BE49-F238E27FC236}">
              <a16:creationId xmlns:a16="http://schemas.microsoft.com/office/drawing/2014/main" id="{7DD2E701-9C7F-EDD3-0D66-E2B027B109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288804</xdr:colOff>
      <xdr:row>1</xdr:row>
      <xdr:rowOff>15965</xdr:rowOff>
    </xdr:from>
    <xdr:to>
      <xdr:col>15</xdr:col>
      <xdr:colOff>18295</xdr:colOff>
      <xdr:row>21</xdr:row>
      <xdr:rowOff>126999</xdr:rowOff>
    </xdr:to>
    <xdr:sp macro="" textlink="">
      <xdr:nvSpPr>
        <xdr:cNvPr id="2" name="TextBox 2">
          <a:extLst>
            <a:ext uri="{FF2B5EF4-FFF2-40B4-BE49-F238E27FC236}">
              <a16:creationId xmlns:a16="http://schemas.microsoft.com/office/drawing/2014/main" id="{7A344241-6392-43B4-BC6B-0F41EDD7576E}"/>
            </a:ext>
          </a:extLst>
        </xdr:cNvPr>
        <xdr:cNvSpPr txBox="1"/>
      </xdr:nvSpPr>
      <xdr:spPr>
        <a:xfrm>
          <a:off x="288804" y="195882"/>
          <a:ext cx="10365741" cy="370936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i="0" baseline="0">
              <a:solidFill>
                <a:schemeClr val="dk1"/>
              </a:solidFill>
              <a:effectLst/>
              <a:latin typeface="Pero" panose="020F0506020203030304" pitchFamily="34" charset="0"/>
              <a:ea typeface="+mn-ea"/>
              <a:cs typeface="+mn-cs"/>
            </a:rPr>
            <a:t>*Level of certainty (lowest of the four dimensions evidence strengths, precision of impact estimates, assumptions, and sensitivity):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Low	</a:t>
          </a:r>
          <a:r>
            <a:rPr lang="en-US" sz="1050" b="0" i="0" u="sng" baseline="0">
              <a:solidFill>
                <a:schemeClr val="dk1"/>
              </a:solidFill>
              <a:effectLst/>
              <a:latin typeface="Pero" panose="020F0506020203030304" pitchFamily="34" charset="0"/>
              <a:ea typeface="+mn-ea"/>
              <a:cs typeface="+mn-cs"/>
            </a:rPr>
            <a:t>Evidence strength</a:t>
          </a:r>
          <a:r>
            <a:rPr lang="en-US" sz="1050" b="0" i="0" baseline="0">
              <a:solidFill>
                <a:schemeClr val="dk1"/>
              </a:solidFill>
              <a:effectLst/>
              <a:latin typeface="Pero" panose="020F0506020203030304" pitchFamily="34" charset="0"/>
              <a:ea typeface="+mn-ea"/>
              <a:cs typeface="+mn-cs"/>
            </a:rPr>
            <a:t>: No direct measurement of household income or consumption expenditure. Income effects modeled from intermediate outcomes.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Weak evaluation design (observational, no counterfactual; small or non-representative samples).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Impact/outcome estimates from very different contexts (low generalizability).</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Precision of impact estimates</a:t>
          </a:r>
          <a:r>
            <a:rPr lang="en-US" sz="1050" b="0" i="0" baseline="0">
              <a:solidFill>
                <a:schemeClr val="dk1"/>
              </a:solidFill>
              <a:effectLst/>
              <a:latin typeface="Pero" panose="020F0506020203030304" pitchFamily="34" charset="0"/>
              <a:ea typeface="+mn-ea"/>
              <a:cs typeface="+mn-cs"/>
            </a:rPr>
            <a:t>: Confidence interval (CI) width &gt; 60% of point estimate or no CI reported at all. Point estimates not statistically significant.</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Assumptions</a:t>
          </a:r>
          <a:r>
            <a:rPr lang="en-US" sz="1050" b="0" i="0" baseline="0">
              <a:solidFill>
                <a:schemeClr val="dk1"/>
              </a:solidFill>
              <a:effectLst/>
              <a:latin typeface="Pero" panose="020F0506020203030304" pitchFamily="34" charset="0"/>
              <a:ea typeface="+mn-ea"/>
              <a:cs typeface="+mn-cs"/>
            </a:rPr>
            <a:t>: Multiple key assumptions with high uncertainty (best guess).</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Sensitivity</a:t>
          </a:r>
          <a:r>
            <a:rPr lang="en-US" sz="1050" b="0" i="0" baseline="0">
              <a:solidFill>
                <a:schemeClr val="dk1"/>
              </a:solidFill>
              <a:effectLst/>
              <a:latin typeface="Pero" panose="020F0506020203030304" pitchFamily="34" charset="0"/>
              <a:ea typeface="+mn-ea"/>
              <a:cs typeface="+mn-cs"/>
            </a:rPr>
            <a:t>: SROI values highly sensitive to key uncertain parameters. Small or plaussible variations (e.g. +/- 10-20%) in key parameters lead to large 	changes in SROI values or even a change in sign.</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Medium	</a:t>
          </a:r>
          <a:r>
            <a:rPr lang="en-US" sz="1050" b="0" i="0" u="sng" baseline="0">
              <a:solidFill>
                <a:schemeClr val="dk1"/>
              </a:solidFill>
              <a:effectLst/>
              <a:latin typeface="Pero" panose="020F0506020203030304" pitchFamily="34" charset="0"/>
              <a:ea typeface="+mn-ea"/>
              <a:cs typeface="+mn-cs"/>
            </a:rPr>
            <a:t>Evidence strength</a:t>
          </a:r>
          <a:r>
            <a:rPr lang="en-US" sz="1050" b="0" i="0" baseline="0">
              <a:solidFill>
                <a:schemeClr val="dk1"/>
              </a:solidFill>
              <a:effectLst/>
              <a:latin typeface="Pero" panose="020F0506020203030304" pitchFamily="34" charset="0"/>
              <a:ea typeface="+mn-ea"/>
              <a:cs typeface="+mn-cs"/>
            </a:rPr>
            <a:t>: Impact estimates based on self-reported income or validated proxy measures.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Observational or quasi-experimental evaluation design with some attempt at causal inference.</a:t>
          </a:r>
          <a:br>
            <a:rPr lang="en-US" sz="1050" b="0" i="0" baseline="0">
              <a:solidFill>
                <a:schemeClr val="dk1"/>
              </a:solidFill>
              <a:effectLst/>
              <a:latin typeface="Pero" panose="020F0506020203030304" pitchFamily="34" charset="0"/>
              <a:ea typeface="+mn-ea"/>
              <a:cs typeface="+mn-cs"/>
            </a:rPr>
          </a:br>
          <a:r>
            <a:rPr lang="en-US" sz="1050" b="0" i="0" baseline="0">
              <a:solidFill>
                <a:schemeClr val="dk1"/>
              </a:solidFill>
              <a:effectLst/>
              <a:latin typeface="Pero" panose="020F0506020203030304" pitchFamily="34" charset="0"/>
              <a:ea typeface="+mn-ea"/>
              <a:cs typeface="+mn-cs"/>
            </a:rPr>
            <a:t>	Impact estimates from similar contexts or adapted with reasoning.</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Precision of impact estimates</a:t>
          </a:r>
          <a:r>
            <a:rPr lang="en-US" sz="1050" b="0" i="0" baseline="0">
              <a:solidFill>
                <a:schemeClr val="dk1"/>
              </a:solidFill>
              <a:effectLst/>
              <a:latin typeface="Pero" panose="020F0506020203030304" pitchFamily="34" charset="0"/>
              <a:ea typeface="+mn-ea"/>
              <a:cs typeface="+mn-cs"/>
            </a:rPr>
            <a:t>: Moderately wide CI (CI width 30-60%). Borderline statistical significance of impact estimates.</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Assumptions</a:t>
          </a:r>
          <a:r>
            <a:rPr lang="en-US" sz="1050" b="0" i="0" baseline="0">
              <a:solidFill>
                <a:schemeClr val="dk1"/>
              </a:solidFill>
              <a:effectLst/>
              <a:latin typeface="Pero" panose="020F0506020203030304" pitchFamily="34" charset="0"/>
              <a:ea typeface="+mn-ea"/>
              <a:cs typeface="+mn-cs"/>
            </a:rPr>
            <a:t>: Some substantiated assumptions (with some form of support based on available evidence or logical reasoning).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Sensitivity</a:t>
          </a:r>
          <a:r>
            <a:rPr lang="en-US" sz="1050" b="0" i="0" baseline="0">
              <a:solidFill>
                <a:schemeClr val="dk1"/>
              </a:solidFill>
              <a:effectLst/>
              <a:latin typeface="Pero" panose="020F0506020203030304" pitchFamily="34" charset="0"/>
              <a:ea typeface="+mn-ea"/>
              <a:cs typeface="+mn-cs"/>
            </a:rPr>
            <a:t>: SROI values are moderately sensitive to key parameters. Reasonable variation in inputs leads to noticeable but not decision-changing shifts in 	SROI.</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High	</a:t>
          </a:r>
          <a:r>
            <a:rPr lang="en-US" sz="1050" b="0" i="0" u="sng" baseline="0">
              <a:solidFill>
                <a:schemeClr val="dk1"/>
              </a:solidFill>
              <a:effectLst/>
              <a:latin typeface="Pero" panose="020F0506020203030304" pitchFamily="34" charset="0"/>
              <a:ea typeface="+mn-ea"/>
              <a:cs typeface="+mn-cs"/>
            </a:rPr>
            <a:t>Evidence strength</a:t>
          </a:r>
          <a:r>
            <a:rPr lang="en-US" sz="1050" b="0" i="0" baseline="0">
              <a:solidFill>
                <a:schemeClr val="dk1"/>
              </a:solidFill>
              <a:effectLst/>
              <a:latin typeface="Pero" panose="020F0506020203030304" pitchFamily="34" charset="0"/>
              <a:ea typeface="+mn-ea"/>
              <a:cs typeface="+mn-cs"/>
            </a:rPr>
            <a:t>: Direct measurement of household consumption expenditure. </a:t>
          </a:r>
          <a:br>
            <a:rPr lang="en-US" sz="1050" b="0" i="0" baseline="0">
              <a:solidFill>
                <a:schemeClr val="dk1"/>
              </a:solidFill>
              <a:effectLst/>
              <a:latin typeface="Pero" panose="020F0506020203030304" pitchFamily="34" charset="0"/>
              <a:ea typeface="+mn-ea"/>
              <a:cs typeface="+mn-cs"/>
            </a:rPr>
          </a:br>
          <a:r>
            <a:rPr lang="en-US" sz="1050" b="0" i="0" baseline="0">
              <a:solidFill>
                <a:schemeClr val="dk1"/>
              </a:solidFill>
              <a:effectLst/>
              <a:latin typeface="Pero" panose="020F0506020203030304" pitchFamily="34" charset="0"/>
              <a:ea typeface="+mn-ea"/>
              <a:cs typeface="+mn-cs"/>
            </a:rPr>
            <a:t>	Rigorous experimental/quasi-experimental design with strong causal identification.</a:t>
          </a:r>
          <a:br>
            <a:rPr lang="en-US" sz="1050" b="0" i="0" baseline="0">
              <a:solidFill>
                <a:schemeClr val="dk1"/>
              </a:solidFill>
              <a:effectLst/>
              <a:latin typeface="Pero" panose="020F0506020203030304" pitchFamily="34" charset="0"/>
              <a:ea typeface="+mn-ea"/>
              <a:cs typeface="+mn-cs"/>
            </a:rPr>
          </a:br>
          <a:r>
            <a:rPr lang="en-US" sz="1050" b="0" i="0" baseline="0">
              <a:solidFill>
                <a:schemeClr val="dk1"/>
              </a:solidFill>
              <a:effectLst/>
              <a:latin typeface="Pero" panose="020F0506020203030304" pitchFamily="34" charset="0"/>
              <a:ea typeface="+mn-ea"/>
              <a:cs typeface="+mn-cs"/>
            </a:rPr>
            <a:t>	Impact estimates from coffee-growing households in East Africa or validated external validity.</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Precision of impact estimates</a:t>
          </a:r>
          <a:r>
            <a:rPr lang="en-US" sz="1050" b="0" i="0" baseline="0">
              <a:solidFill>
                <a:schemeClr val="dk1"/>
              </a:solidFill>
              <a:effectLst/>
              <a:latin typeface="Pero" panose="020F0506020203030304" pitchFamily="34" charset="0"/>
              <a:ea typeface="+mn-ea"/>
              <a:cs typeface="+mn-cs"/>
            </a:rPr>
            <a:t>: Income estimates significant at 5% (p&lt;0.05) with narrow confidence intervals (i.e., CI width &lt; 31% of the point estimate).</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Assumptions</a:t>
          </a:r>
          <a:r>
            <a:rPr lang="en-US" sz="1050" b="0" i="0" baseline="0">
              <a:solidFill>
                <a:schemeClr val="dk1"/>
              </a:solidFill>
              <a:effectLst/>
              <a:latin typeface="Pero" panose="020F0506020203030304" pitchFamily="34" charset="0"/>
              <a:ea typeface="+mn-ea"/>
              <a:cs typeface="+mn-cs"/>
            </a:rPr>
            <a:t>: All key assumptions are empirically grounded or sensitivity-tested.</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	</a:t>
          </a:r>
          <a:r>
            <a:rPr lang="en-US" sz="1050" b="0" i="0" u="sng" baseline="0">
              <a:solidFill>
                <a:schemeClr val="dk1"/>
              </a:solidFill>
              <a:effectLst/>
              <a:latin typeface="Pero" panose="020F0506020203030304" pitchFamily="34" charset="0"/>
              <a:ea typeface="+mn-ea"/>
              <a:cs typeface="+mn-cs"/>
            </a:rPr>
            <a:t>Sensitivity</a:t>
          </a:r>
          <a:r>
            <a:rPr lang="en-US" sz="1050" b="0" i="0" baseline="0">
              <a:solidFill>
                <a:schemeClr val="dk1"/>
              </a:solidFill>
              <a:effectLst/>
              <a:latin typeface="Pero" panose="020F0506020203030304" pitchFamily="34" charset="0"/>
              <a:ea typeface="+mn-ea"/>
              <a:cs typeface="+mn-cs"/>
            </a:rPr>
            <a:t>: SROI values are robust to sensitivity analysis. Changes in inputs lead to only modest changes in SROI values, and conclusions remain consistent.</a:t>
          </a:r>
          <a:endParaRPr lang="en-US" sz="1050">
            <a:effectLst/>
            <a:latin typeface="Pero" panose="020F0506020203030304" pitchFamily="34" charset="0"/>
          </a:endParaRPr>
        </a:p>
      </xdr:txBody>
    </xdr:sp>
    <xdr:clientData/>
  </xdr:twoCellAnchor>
  <xdr:twoCellAnchor>
    <xdr:from>
      <xdr:col>0</xdr:col>
      <xdr:colOff>280758</xdr:colOff>
      <xdr:row>22</xdr:row>
      <xdr:rowOff>110972</xdr:rowOff>
    </xdr:from>
    <xdr:to>
      <xdr:col>15</xdr:col>
      <xdr:colOff>31749</xdr:colOff>
      <xdr:row>26</xdr:row>
      <xdr:rowOff>158537</xdr:rowOff>
    </xdr:to>
    <xdr:sp macro="" textlink="">
      <xdr:nvSpPr>
        <xdr:cNvPr id="3" name="TextBox 2">
          <a:extLst>
            <a:ext uri="{FF2B5EF4-FFF2-40B4-BE49-F238E27FC236}">
              <a16:creationId xmlns:a16="http://schemas.microsoft.com/office/drawing/2014/main" id="{6B3B80F3-9FE0-4725-B51C-18D2A7236D43}"/>
            </a:ext>
          </a:extLst>
        </xdr:cNvPr>
        <xdr:cNvSpPr txBox="1"/>
      </xdr:nvSpPr>
      <xdr:spPr>
        <a:xfrm>
          <a:off x="280758" y="4069139"/>
          <a:ext cx="10387241" cy="76723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i="0" u="none" strike="noStrike" baseline="0">
              <a:solidFill>
                <a:schemeClr val="dk1"/>
              </a:solidFill>
              <a:latin typeface="Pero" panose="020F0506020203030304" pitchFamily="34" charset="0"/>
              <a:ea typeface="+mn-ea"/>
              <a:cs typeface="+mn-cs"/>
            </a:rPr>
            <a:t>*Methodological rigor: </a:t>
          </a:r>
          <a:endParaRPr lang="en-US" sz="1100" b="0" i="0" u="none" strike="noStrike" baseline="0">
            <a:solidFill>
              <a:schemeClr val="dk1"/>
            </a:solidFill>
            <a:latin typeface="Pero" panose="020F0506020203030304" pitchFamily="34" charset="0"/>
            <a:ea typeface="+mn-ea"/>
            <a:cs typeface="+mn-cs"/>
          </a:endParaRPr>
        </a:p>
        <a:p>
          <a:r>
            <a:rPr lang="en-US" sz="1050" b="0" i="0" baseline="0">
              <a:solidFill>
                <a:schemeClr val="dk1"/>
              </a:solidFill>
              <a:effectLst/>
              <a:latin typeface="Pero" panose="020F0506020203030304" pitchFamily="34" charset="0"/>
              <a:ea typeface="+mn-ea"/>
              <a:cs typeface="+mn-cs"/>
            </a:rPr>
            <a:t>Fair	Design and methods have significant limitations that reduce confidence in causal claims.</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Good	Design is generally appropriate, with clear and justified sampling and analytical methods, though some limitations remain	</a:t>
          </a:r>
          <a:endParaRPr lang="en-US" sz="1050">
            <a:effectLst/>
            <a:latin typeface="Pero" panose="020F0506020203030304" pitchFamily="34" charset="0"/>
          </a:endParaRPr>
        </a:p>
        <a:p>
          <a:r>
            <a:rPr lang="en-US" sz="1050" b="0" i="0" baseline="0">
              <a:solidFill>
                <a:schemeClr val="dk1"/>
              </a:solidFill>
              <a:effectLst/>
              <a:latin typeface="Pero" panose="020F0506020203030304" pitchFamily="34" charset="0"/>
              <a:ea typeface="+mn-ea"/>
              <a:cs typeface="+mn-cs"/>
            </a:rPr>
            <a:t>Excellent	Rigorous design with well-documented, robust methods that effectively address potential biases and support strong causal inferences.</a:t>
          </a:r>
          <a:endParaRPr lang="en-US" sz="1050">
            <a:effectLst/>
            <a:latin typeface="Pero" panose="020F0506020203030304" pitchFamily="34" charset="0"/>
          </a:endParaRPr>
        </a:p>
      </xdr:txBody>
    </xdr:sp>
    <xdr:clientData/>
  </xdr:twoCellAnchor>
  <xdr:twoCellAnchor>
    <xdr:from>
      <xdr:col>0</xdr:col>
      <xdr:colOff>296334</xdr:colOff>
      <xdr:row>32</xdr:row>
      <xdr:rowOff>158750</xdr:rowOff>
    </xdr:from>
    <xdr:to>
      <xdr:col>15</xdr:col>
      <xdr:colOff>15452</xdr:colOff>
      <xdr:row>40</xdr:row>
      <xdr:rowOff>14394</xdr:rowOff>
    </xdr:to>
    <xdr:sp macro="" textlink="">
      <xdr:nvSpPr>
        <xdr:cNvPr id="4" name="TextBox 3">
          <a:extLst>
            <a:ext uri="{FF2B5EF4-FFF2-40B4-BE49-F238E27FC236}">
              <a16:creationId xmlns:a16="http://schemas.microsoft.com/office/drawing/2014/main" id="{42200C87-7C1D-46F9-94E1-750E6918F02D}"/>
            </a:ext>
          </a:extLst>
        </xdr:cNvPr>
        <xdr:cNvSpPr txBox="1"/>
      </xdr:nvSpPr>
      <xdr:spPr>
        <a:xfrm>
          <a:off x="296334" y="5916083"/>
          <a:ext cx="10355368" cy="1294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*Discrount rate</a:t>
          </a:r>
          <a:r>
            <a:rPr lang="en-US" sz="1050">
              <a:solidFill>
                <a:schemeClr val="dk1"/>
              </a:solidFill>
              <a:effectLst/>
              <a:latin typeface="Pero" panose="020F0506020203030304" pitchFamily="34" charset="0"/>
              <a:ea typeface="+mn-ea"/>
              <a:cs typeface="+mn-cs"/>
            </a:rPr>
            <a:t>:</a:t>
          </a:r>
          <a:r>
            <a:rPr lang="en-US" sz="1050" baseline="0">
              <a:solidFill>
                <a:schemeClr val="dk1"/>
              </a:solidFill>
              <a:effectLst/>
              <a:latin typeface="Pero" panose="020F0506020203030304" pitchFamily="34" charset="0"/>
              <a:ea typeface="+mn-ea"/>
              <a:cs typeface="+mn-cs"/>
            </a:rPr>
            <a:t> </a:t>
          </a:r>
          <a:r>
            <a:rPr lang="en-US" sz="1050">
              <a:solidFill>
                <a:schemeClr val="dk1"/>
              </a:solidFill>
              <a:effectLst/>
              <a:latin typeface="Pero" panose="020F0506020203030304" pitchFamily="34" charset="0"/>
              <a:ea typeface="+mn-ea"/>
              <a:cs typeface="+mn-cs"/>
            </a:rPr>
            <a:t>When a program's costs and impacts are distributed across time, it is necessary to discount them back to their present value in the base year of the program to account for an organization's time preference for both costs and benefits. The social opportunity cost of capital (SOC) is used as the standard discount rate in this analysis, in part because the high variation and scarce data on time preference in the developing world makes it impossible to use people's social rate of time preference to establish a standard discount rate. </a:t>
          </a:r>
        </a:p>
        <a:p>
          <a:r>
            <a:rPr lang="en-US" sz="1050">
              <a:solidFill>
                <a:schemeClr val="dk1"/>
              </a:solidFill>
              <a:effectLst/>
              <a:latin typeface="Pero" panose="020F0506020203030304" pitchFamily="34" charset="0"/>
              <a:ea typeface="+mn-ea"/>
              <a:cs typeface="+mn-cs"/>
            </a:rPr>
            <a:t>Looking at the median discount rate, calculated based on the SOC, across countries suggests that anything between 10-12 percent is a reasonable rate for discounting the costs and benefits of rural livelihoods programs in developing countries. We've chosen to set the discount rate to 10 percent to ensure consistency across all programs in the analysis. (For a list of discount rates used by various governments and organizations, see Table 2 of Dhaliwal et al., 2013.)</a:t>
          </a:r>
        </a:p>
        <a:p>
          <a:r>
            <a:rPr lang="en-US" sz="1050">
              <a:solidFill>
                <a:schemeClr val="dk1"/>
              </a:solidFill>
              <a:effectLst/>
              <a:latin typeface="Pero" panose="020F0506020203030304" pitchFamily="34" charset="0"/>
              <a:ea typeface="+mn-ea"/>
              <a:cs typeface="+mn-cs"/>
            </a:rPr>
            <a:t> </a:t>
          </a:r>
        </a:p>
      </xdr:txBody>
    </xdr:sp>
    <xdr:clientData/>
  </xdr:twoCellAnchor>
  <xdr:twoCellAnchor>
    <xdr:from>
      <xdr:col>0</xdr:col>
      <xdr:colOff>299296</xdr:colOff>
      <xdr:row>27</xdr:row>
      <xdr:rowOff>106679</xdr:rowOff>
    </xdr:from>
    <xdr:to>
      <xdr:col>15</xdr:col>
      <xdr:colOff>36618</xdr:colOff>
      <xdr:row>32</xdr:row>
      <xdr:rowOff>70274</xdr:rowOff>
    </xdr:to>
    <xdr:sp macro="" textlink="">
      <xdr:nvSpPr>
        <xdr:cNvPr id="5" name="TextBox 4">
          <a:extLst>
            <a:ext uri="{FF2B5EF4-FFF2-40B4-BE49-F238E27FC236}">
              <a16:creationId xmlns:a16="http://schemas.microsoft.com/office/drawing/2014/main" id="{0A0A22AA-66A5-4F66-8C21-0B34553D6375}"/>
            </a:ext>
          </a:extLst>
        </xdr:cNvPr>
        <xdr:cNvSpPr txBox="1"/>
      </xdr:nvSpPr>
      <xdr:spPr>
        <a:xfrm>
          <a:off x="299296" y="4964429"/>
          <a:ext cx="10373572" cy="863178"/>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a:solidFill>
                <a:schemeClr val="dk1"/>
              </a:solidFill>
              <a:latin typeface="Pero" panose="020F0506020203030304" pitchFamily="34" charset="0"/>
              <a:ea typeface="+mn-ea"/>
              <a:cs typeface="+mn-cs"/>
            </a:rPr>
            <a:t>Impact measure: </a:t>
          </a:r>
          <a:r>
            <a:rPr lang="en-US" sz="1100" b="0" i="0" u="none" strike="noStrike" baseline="0">
              <a:solidFill>
                <a:schemeClr val="dk1"/>
              </a:solidFill>
              <a:latin typeface="Pero" panose="020F0506020203030304" pitchFamily="34" charset="0"/>
              <a:ea typeface="+mn-ea"/>
              <a:cs typeface="+mn-cs"/>
            </a:rPr>
            <a:t>The forecast does not provide data on total household income. Instead, it focuses on the intermediate outcome of coffee, Chia and Macadamia production. We assume yield effects of practice adoption to calcuate coffee revenues, costs associated with practice adoption to calculate coffee and maize profits and that changes in practices adoption do not affect other income-gernerating activities of the household, so that a change in coffee and maize profits translates directly into an equal change in total household income.</a:t>
          </a:r>
        </a:p>
      </xdr:txBody>
    </xdr:sp>
    <xdr:clientData/>
  </xdr:twoCellAnchor>
  <xdr:twoCellAnchor>
    <xdr:from>
      <xdr:col>0</xdr:col>
      <xdr:colOff>306917</xdr:colOff>
      <xdr:row>40</xdr:row>
      <xdr:rowOff>129964</xdr:rowOff>
    </xdr:from>
    <xdr:to>
      <xdr:col>15</xdr:col>
      <xdr:colOff>56727</xdr:colOff>
      <xdr:row>46</xdr:row>
      <xdr:rowOff>10583</xdr:rowOff>
    </xdr:to>
    <xdr:sp macro="" textlink="">
      <xdr:nvSpPr>
        <xdr:cNvPr id="6" name="TextBox 5">
          <a:extLst>
            <a:ext uri="{FF2B5EF4-FFF2-40B4-BE49-F238E27FC236}">
              <a16:creationId xmlns:a16="http://schemas.microsoft.com/office/drawing/2014/main" id="{B3E0D4C1-7685-4C53-82B9-0397568A364D}"/>
            </a:ext>
          </a:extLst>
        </xdr:cNvPr>
        <xdr:cNvSpPr txBox="1"/>
      </xdr:nvSpPr>
      <xdr:spPr>
        <a:xfrm>
          <a:off x="306917" y="7326631"/>
          <a:ext cx="10386060" cy="96011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*Accounting for inflation: </a:t>
          </a:r>
          <a:r>
            <a:rPr lang="en-US" sz="1050" b="0">
              <a:solidFill>
                <a:schemeClr val="dk1"/>
              </a:solidFill>
              <a:effectLst/>
              <a:latin typeface="Pero" panose="020F0506020203030304" pitchFamily="34" charset="0"/>
              <a:ea typeface="+mn-ea"/>
              <a:cs typeface="+mn-cs"/>
            </a:rPr>
            <a:t>We</a:t>
          </a:r>
          <a:r>
            <a:rPr lang="en-US" sz="1050" b="0" baseline="0">
              <a:solidFill>
                <a:schemeClr val="dk1"/>
              </a:solidFill>
              <a:effectLst/>
              <a:latin typeface="Pero" panose="020F0506020203030304" pitchFamily="34" charset="0"/>
              <a:ea typeface="+mn-ea"/>
              <a:cs typeface="+mn-cs"/>
            </a:rPr>
            <a:t> present cash flows in real vaules, deflating coffee prices and labor costs (for the calculation of profts from coffee) as well as project costs back to real value in base year (2018 for C2019 and 2019 for C2020), using average annual LCU inflation rate over time elapsed between base year and the incurrence of benefits/costs. We take the present value of these cash flows and then inflate forward to the year of analysis (2021), using average annual LCU inflation rate over time elapsed between base year and year of analysis. We selected 2021 as year of analysis because it aligns with the latest international poverty line and purchasing power parity (PPP) update (World Bank Group 2025).</a:t>
          </a:r>
        </a:p>
      </xdr:txBody>
    </xdr:sp>
    <xdr:clientData/>
  </xdr:twoCellAnchor>
  <xdr:twoCellAnchor>
    <xdr:from>
      <xdr:col>0</xdr:col>
      <xdr:colOff>306916</xdr:colOff>
      <xdr:row>46</xdr:row>
      <xdr:rowOff>102023</xdr:rowOff>
    </xdr:from>
    <xdr:to>
      <xdr:col>15</xdr:col>
      <xdr:colOff>56727</xdr:colOff>
      <xdr:row>50</xdr:row>
      <xdr:rowOff>42333</xdr:rowOff>
    </xdr:to>
    <xdr:sp macro="" textlink="">
      <xdr:nvSpPr>
        <xdr:cNvPr id="7" name="TextBox 6">
          <a:extLst>
            <a:ext uri="{FF2B5EF4-FFF2-40B4-BE49-F238E27FC236}">
              <a16:creationId xmlns:a16="http://schemas.microsoft.com/office/drawing/2014/main" id="{EB3D22E8-94D0-4E53-AE3E-7675E0A05137}"/>
            </a:ext>
          </a:extLst>
        </xdr:cNvPr>
        <xdr:cNvSpPr txBox="1"/>
      </xdr:nvSpPr>
      <xdr:spPr>
        <a:xfrm>
          <a:off x="306916" y="8865023"/>
          <a:ext cx="10026228" cy="97747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baseline="0">
              <a:solidFill>
                <a:schemeClr val="dk1"/>
              </a:solidFill>
              <a:effectLst/>
              <a:latin typeface="Pero" panose="020F0506020203030304" pitchFamily="34" charset="0"/>
              <a:ea typeface="+mn-ea"/>
              <a:cs typeface="+mn-cs"/>
            </a:rPr>
            <a:t>*Non-implementation costs share: </a:t>
          </a:r>
          <a:r>
            <a:rPr lang="en-US" sz="1050" b="0" baseline="0">
              <a:solidFill>
                <a:schemeClr val="dk1"/>
              </a:solidFill>
              <a:effectLst/>
              <a:latin typeface="Pero" panose="020F0506020203030304" pitchFamily="34" charset="0"/>
              <a:ea typeface="+mn-ea"/>
              <a:cs typeface="+mn-cs"/>
            </a:rPr>
            <a:t>This parameter captures the share of the total project budget allocated to costs not directly related to project implementation — such as administrative overhead, institutional support functions, or organizational indirect costs applied by the implementing organization. We assume these costs are still necessary to replicate/expand the program. Moreover, the non-implementation costs share varies considerably between implementing organizations. Substracting these costs from the cost base would disadvantage lean/efficient organizations with a low non-implementation cost share. We therefore include non-implementation/indirect costs in the project costs in the base case.  </a:t>
          </a:r>
        </a:p>
      </xdr:txBody>
    </xdr:sp>
    <xdr:clientData/>
  </xdr:twoCellAnchor>
  <xdr:twoCellAnchor>
    <xdr:from>
      <xdr:col>0</xdr:col>
      <xdr:colOff>303107</xdr:colOff>
      <xdr:row>50</xdr:row>
      <xdr:rowOff>140545</xdr:rowOff>
    </xdr:from>
    <xdr:to>
      <xdr:col>15</xdr:col>
      <xdr:colOff>56728</xdr:colOff>
      <xdr:row>63</xdr:row>
      <xdr:rowOff>95249</xdr:rowOff>
    </xdr:to>
    <xdr:sp macro="" textlink="">
      <xdr:nvSpPr>
        <xdr:cNvPr id="8" name="TextBox 7">
          <a:extLst>
            <a:ext uri="{FF2B5EF4-FFF2-40B4-BE49-F238E27FC236}">
              <a16:creationId xmlns:a16="http://schemas.microsoft.com/office/drawing/2014/main" id="{61C04E0C-11BA-48AD-9E2D-993A47E91782}"/>
            </a:ext>
          </a:extLst>
        </xdr:cNvPr>
        <xdr:cNvSpPr txBox="1"/>
      </xdr:nvSpPr>
      <xdr:spPr>
        <a:xfrm>
          <a:off x="303107" y="9136378"/>
          <a:ext cx="10389871" cy="229362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a:t>
          </a:r>
          <a:r>
            <a:rPr lang="en-US" sz="1050" b="1" baseline="0">
              <a:solidFill>
                <a:schemeClr val="dk1"/>
              </a:solidFill>
              <a:effectLst/>
              <a:latin typeface="Pero" panose="020F0506020203030304" pitchFamily="34" charset="0"/>
              <a:ea typeface="+mn-ea"/>
              <a:cs typeface="+mn-cs"/>
            </a:rPr>
            <a:t>Practice adoption over time: </a:t>
          </a:r>
          <a:r>
            <a:rPr lang="en-US" sz="1050" b="0" baseline="0">
              <a:solidFill>
                <a:schemeClr val="dk1"/>
              </a:solidFill>
              <a:effectLst/>
              <a:latin typeface="Pero" panose="020F0506020203030304" pitchFamily="34" charset="0"/>
              <a:ea typeface="+mn-ea"/>
              <a:cs typeface="+mn-cs"/>
            </a:rPr>
            <a:t>The available evaluation data does not allow us to estimate the dynamic effects of the coffee training on practice adoption - it is possible that the effects became either stronger or weaker over time. We apply findings from a previous evaluation of TechnoServe's coffee training program in East Africa (IPE Tripe Line, 2017) to model the time path of impact. This allows us to approximate the return on the training over a period of 10 years. The Triple Line evaluation concluded that 63% of the improvement in practice adoption achieved by the end of the training period remained 5 years later. Assuming the decay in farmers' practice adoption is linear implies an annual decay of 7.3% of the initial improvement.</a:t>
          </a:r>
        </a:p>
        <a:p>
          <a:endParaRPr lang="en-US" sz="1050" b="0" baseline="0">
            <a:solidFill>
              <a:schemeClr val="dk1"/>
            </a:solidFill>
            <a:effectLst/>
            <a:latin typeface="Pero" panose="020F05060202030303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Pero" panose="020F0506020203030304" pitchFamily="34" charset="0"/>
              <a:ea typeface="+mn-ea"/>
              <a:cs typeface="+mn-cs"/>
            </a:rPr>
            <a:t>Spillover effects:</a:t>
          </a:r>
          <a:r>
            <a:rPr lang="en-US" sz="1100" b="0" baseline="0">
              <a:solidFill>
                <a:schemeClr val="dk1"/>
              </a:solidFill>
              <a:effectLst/>
              <a:latin typeface="Pero" panose="020F0506020203030304" pitchFamily="34" charset="0"/>
              <a:ea typeface="+mn-ea"/>
              <a:cs typeface="+mn-cs"/>
            </a:rPr>
            <a:t> The program could lead to positive spillover effects among participating and non-participating households. Participating households may apply their BP knowledge to other crops. Non-participating households may learn about BPs through knowledge sharing and start applying BPs on their (coffee) plots. There is limited and mixed evidence on the direction and magnitude of spillover effects of agricultural extension programs. An RCT of an TNS agronomy training program among Rwandan coffee farmers finds no evidence of social diffusion of BP knoweldge; instead control households experienced negative spillovers, likely because of competition for scarce inputs, such as inorganic fertilizer and labor (Duflo et al., 2026). </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Pero" panose="020F0506020203030304" pitchFamily="34" charset="0"/>
              <a:ea typeface="+mn-ea"/>
              <a:cs typeface="+mn-cs"/>
            </a:rPr>
            <a:t>Input sales by OAF may also affect the offer and profits of agro-input dealers in the region. Yet, we do not have any evidence on potential effect sizes and magnitudes. Therefore, we do not consider (positive and/or negative) spillover effects in SROI calculation.</a:t>
          </a:r>
          <a:endParaRPr lang="en-US" sz="1050">
            <a:effectLst/>
            <a:latin typeface="Pero" panose="020F0506020203030304" pitchFamily="34" charset="0"/>
          </a:endParaRPr>
        </a:p>
        <a:p>
          <a:endParaRPr lang="en-US" sz="1050">
            <a:effectLst/>
            <a:latin typeface="Pero" panose="020F05060202030303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Wiegel, Sarah" id="{40067C21-BBC2-4C2C-95BD-D475A557CE76}" userId="S::swiegel@herewegrow.org::750ddbee-ee52-4a41-b292-ae74334bd7d4"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3" dT="2026-08-25T08:57:38.03" personId="{40067C21-BBC2-4C2C-95BD-D475A557CE76}" id="{DB5C7DFA-C967-4D48-A678-F0995BA9EB1C}">
    <text>This refers to the actual cost base (net of evaluation costs, plus co-funding)</text>
  </threadedComment>
  <threadedComment ref="B14" dT="2026-08-24T09:01:44.60" personId="{40067C21-BBC2-4C2C-95BD-D475A557CE76}" id="{DECE59E1-EB5A-430B-A185-148773E714E5}">
    <text>This is the cumulative distinct household reach. It is higher than the 34,000*0.97 (to arrive from number of farmers to number of households) because OAF plans to enroll new farmers for the ones that do not re-enroll after 1 year of training. OAF assumes a 75% retention rate. That means OAF enrolls 25% of additional new farmers each year to replace drop-outs.</text>
  </threadedComment>
  <threadedComment ref="B27" dT="2026-07-01T08:24:53.30" personId="{40067C21-BBC2-4C2C-95BD-D475A557CE76}" id="{53175405-CCA0-4C26-A7EC-65AC43117AA9}">
    <text>Only 10% coffee tree productivity increase</text>
  </threadedComment>
  <threadedComment ref="B28" dT="2026-07-01T08:26:54.76" personId="{40067C21-BBC2-4C2C-95BD-D475A557CE76}" id="{E7233C15-2837-4F9B-A222-D281C6DE7DE2}">
    <text>80% survival rate of timber and macadamia trees</text>
  </threadedComment>
</ThreadedComments>
</file>

<file path=xl/threadedComments/threadedComment2.xml><?xml version="1.0" encoding="utf-8"?>
<ThreadedComments xmlns="http://schemas.microsoft.com/office/spreadsheetml/2018/threadedcomments" xmlns:x="http://schemas.openxmlformats.org/spreadsheetml/2006/main">
  <threadedComment ref="C19" dT="2026-05-08T07:21:13.16" personId="{40067C21-BBC2-4C2C-95BD-D475A557CE76}" id="{81652B9D-14B3-4018-B59C-F72CB41E7CF1}">
    <text>OAF reports average of 454 productive coffee trees in OAF Uganda Coffee Impact Report 2025 Central Western</text>
  </threadedComment>
  <threadedComment ref="B23" dT="2025-11-11T15:38:17.72" personId="{40067C21-BBC2-4C2C-95BD-D475A557CE76}" id="{26BE43D1-8682-4234-A2EA-2C15870CBEB8}">
    <text>We assume that real costs per farmer stay constant.</text>
  </threadedComment>
  <threadedComment ref="C23" dT="2025-11-11T15:37:44.15" personId="{40067C21-BBC2-4C2C-95BD-D475A557CE76}" id="{E2F3577A-46D4-4EA2-812B-3CADD82FC49E}">
    <text>46 nominal 2025 UGX</text>
  </threadedComment>
  <threadedComment ref="C24" dT="2025-11-11T15:39:08.79" personId="{40067C21-BBC2-4C2C-95BD-D475A557CE76}" id="{894E6686-7BDE-4D98-860D-EC985C8F9499}">
    <text>97,400 nominal 2025 UGX</text>
  </threadedComment>
  <threadedComment ref="B27" dT="2026-04-10T12:32:01.47" personId="{40067C21-BBC2-4C2C-95BD-D475A557CE76}" id="{D480EA2A-BE2D-41A0-9E38-E732A848753E}">
    <text>Update from 2025 MEL framework</text>
  </threadedComment>
  <threadedComment ref="B30" dT="2026-02-05T16:44:32.48" personId="{40067C21-BBC2-4C2C-95BD-D475A557CE76}" id="{24C9CC42-022D-412F-970F-D08474423D78}">
    <text>We take the value from RTV baseline report because we do not have consumption data in OAF survey. This is from Kitagwenda and Rakai distrikt and may not apply for Kassanda/Mubende</text>
  </threadedComment>
  <threadedComment ref="B30" dT="2026-05-08T08:25:26.12" personId="{40067C21-BBC2-4C2C-95BD-D475A557CE76}" id="{4276741A-55AB-4328-A6A9-3A2E22585306}" parentId="{24C9CC42-022D-412F-970F-D08474423D78}">
    <text>In OAF baseline survey median total hh revenues amount to 5,625,000 UGX. However, this relies on a very crude survey question.</text>
  </threadedComment>
  <threadedComment ref="B38" dT="2025-11-11T10:39:29.13" personId="{40067C21-BBC2-4C2C-95BD-D475A557CE76}" id="{6678F55A-1619-4B46-B4E1-7A0C91C203CC}">
    <text>Assuming farmer plants 1 kg per season on 0.28 ha</text>
  </threadedComment>
  <threadedComment ref="C83" dT="2026-02-03T12:02:01.71" personId="{40067C21-BBC2-4C2C-95BD-D475A557CE76}" id="{F1DF29D0-4C02-4B3C-B603-42488B0DE80D}">
    <text>OAF assumes number of households=number of farmers*0.97</text>
  </threadedComment>
  <threadedComment ref="B89" dT="2026-08-24T12:48:20.27" personId="{40067C21-BBC2-4C2C-95BD-D475A557CE76}" id="{C0C35338-E600-42B2-8574-255F0DAFD432}">
    <text xml:space="preserve">Benefit persistence for non-re-enrolling households: 0% </text>
  </threadedComment>
</ThreadedComments>
</file>

<file path=xl/threadedComments/threadedComment3.xml><?xml version="1.0" encoding="utf-8"?>
<ThreadedComments xmlns="http://schemas.microsoft.com/office/spreadsheetml/2018/threadedcomments" xmlns:x="http://schemas.openxmlformats.org/spreadsheetml/2006/main">
  <threadedComment ref="B1" dT="2025-11-06T09:39:36.84" personId="{40067C21-BBC2-4C2C-95BD-D475A557CE76}" id="{2AEC212E-EB46-4F43-A987-23B77CBDB0CE}">
    <text>Includes all households (adopters and non-adopters)</text>
  </threadedComment>
  <threadedComment ref="C5" dT="2026-02-05T12:17:16.83" personId="{40067C21-BBC2-4C2C-95BD-D475A557CE76}" id="{9732200F-EC82-45A3-BE72-2BBA2A6D3DE1}">
    <text xml:space="preserve">We assume a linear decay in the yield benefit of 7.3% p.a. setting in Yr 3 of coffee training start. </text>
  </threadedComment>
  <threadedComment ref="C7" dT="2025-11-06T10:16:33.36" personId="{40067C21-BBC2-4C2C-95BD-D475A557CE76}" id="{D7DF8DFE-80B6-4A42-A47E-0E3D631B72BC}">
    <text>Source: M&amp;E framework
We assume linear decay in fertilizer adoption of 7,3% annually after coffee agromy training program ends</text>
  </threadedComment>
  <threadedComment ref="C8" dT="2025-10-15T11:04:16.41" personId="{40067C21-BBC2-4C2C-95BD-D475A557CE76}" id="{52DA56EF-9D11-4F08-929F-8D07BED84017}">
    <text>We proxy incremental expenditure for coffee production by additional harvest costs and costs for inorganic fertilizer. As GAP adoption increase, we can assume that other production costs increase as well. OAF estimates that an OAF farmer ocurrs 4x the production costs of a non-OAF farmer (see OAF impact modelling).</text>
  </threadedComment>
  <threadedComment ref="C11" dT="2026-05-08T07:43:54.99" personId="{40067C21-BBC2-4C2C-95BD-D475A557CE76}" id="{B499B8A5-4EA8-4AF0-87B7-7EDC93A71CC5}">
    <text>Additional production costs of around 18,000 UGX (= 0.01 USD) per tree align closely with OAF production cost estimates.</text>
  </threadedComment>
  <threadedComment ref="B15" dT="2025-11-12T21:14:44.12" personId="{40067C21-BBC2-4C2C-95BD-D475A557CE76}" id="{5EAF7944-7D09-4F5A-B468-5DE44FE113B2}">
    <text>Starts in Yr2</text>
  </threadedComment>
  <threadedComment ref="B23" dT="2025-11-12T13:59:10.99" personId="{40067C21-BBC2-4C2C-95BD-D475A557CE76}" id="{C285C6CF-87E3-47CF-AA24-04B733BC7C3A}">
    <text>The Uganda Macadamia Impact Model includes foregone maize value due to substitution but the monetary amount is negligible (because of the very low number of (surviving) trees). Therefore, we do not consider it here.</text>
  </threadedComment>
  <threadedComment ref="C23" dT="2025-11-12T10:09:17.78" personId="{40067C21-BBC2-4C2C-95BD-D475A557CE76}" id="{390B602A-3544-4DE4-8ED6-B299E801F719}">
    <text>Yield assumptions from OAF Macadamia Impact Model</text>
  </threadedComment>
  <threadedComment ref="C26" dT="2026-02-03T09:19:48.82" personId="{40067C21-BBC2-4C2C-95BD-D475A557CE76}" id="{FF0E73DF-6705-41C2-8BCE-819C8D566A51}">
    <text>Acc to OAF Uganda Macadamia Impact Model</text>
  </threadedComment>
  <threadedComment ref="F28" dT="2025-11-12T13:40:24.14" personId="{40067C21-BBC2-4C2C-95BD-D475A557CE76}" id="{4B2ACDBE-AE46-4309-9EDA-24442D2190FC}">
    <text>Fertilizer + seedlings</text>
  </threadedComment>
  <threadedComment ref="G28" dT="2025-11-12T13:46:13.80" personId="{40067C21-BBC2-4C2C-95BD-D475A557CE76}" id="{469EF366-F24C-4506-AED2-5C77C1CEF630}">
    <text>Pesticide+fertilizer</text>
  </threadedComment>
  <threadedComment ref="M28" dT="2025-11-12T13:46:26.93" personId="{40067C21-BBC2-4C2C-95BD-D475A557CE76}" id="{293CFE2C-ED93-46D8-BA1A-AF3C365CDC91}">
    <text>Fertilizer only. Pesticides only used in year 2-7; later tree becomes too tall to spray</text>
  </threadedComment>
  <threadedComment ref="C33" dT="2026-02-10T14:04:50.91" personId="{40067C21-BBC2-4C2C-95BD-D475A557CE76}" id="{E427B798-158D-4919-8E84-0729549D6CF6}">
    <text xml:space="preserve">40 tree seedlings are distributed in Year 2 and 3 each. </text>
  </threadedComment>
  <threadedComment ref="C34" dT="2026-02-03T09:18:56.13" personId="{40067C21-BBC2-4C2C-95BD-D475A557CE76}" id="{AE06D625-B9A1-47B6-8550-9C9CB6266097}">
    <text>Acc to OAF Uganda Tree NPV Model</text>
  </threadedComment>
  <threadedComment ref="C37" dT="2025-12-10T14:28:03.28" personId="{40067C21-BBC2-4C2C-95BD-D475A557CE76}" id="{52D14CFD-4F2C-4E0E-ACA6-766D19F6CE91}">
    <text>Acc to OAF Uganda Tree NPV Model maintenance costs are $0.40 Yr1-Yr7 and $0.17 afterwards. We use the same currency excange rate of 3400 UGX=1 USD</text>
  </threadedComment>
  <threadedComment ref="C52" dT="2026-04-10T11:32:07.68" personId="{40067C21-BBC2-4C2C-95BD-D475A557CE76}" id="{D9D7BBA3-A26D-48C2-89DE-158667918A87}">
    <text xml:space="preserve">We assume a linear decay in the yield benefit of 7.3% p.a. setting in Yr 3 of coffee training start. </text>
  </threadedComment>
  <threadedComment ref="C54" dT="2025-11-06T10:16:33.36" personId="{40067C21-BBC2-4C2C-95BD-D475A557CE76}" id="{EBDDF246-17C5-4A55-873A-DD48CFB3ACB9}">
    <text>Source: OAF GAP Implementation Check Report Q3 2025
We assume linear decay in fertilizer adoption of 7,3% annually after coffee agronomy training program ends</text>
  </threadedComment>
  <threadedComment ref="C55" dT="2025-10-15T11:04:16.41" personId="{40067C21-BBC2-4C2C-95BD-D475A557CE76}" id="{CFEE743A-D343-4F6E-88C8-8BDD51623D83}">
    <text>We proxy incremental expenditure for coffee production by additional harvest costs and costs for inorganic fertilizer. As GAP adoption increase, we can assume that other production costs increase as well. OAF estimates that an OAF farmer ocurrs 4x the production costs of a non-OAF farmer (see OAF impact modelling).</text>
  </threadedComment>
  <threadedComment ref="B70" dT="2025-11-12T13:59:10.99" personId="{40067C21-BBC2-4C2C-95BD-D475A557CE76}" id="{C349C28C-2E9C-4F67-ABDD-E37696959D44}">
    <text>The Uganda Macadamia Impact Model includes foregone maize value due to substitution but the monetary amount is negligible (because of the very low number of (surviving) trees). Therefore, we do not consider it here.</text>
  </threadedComment>
  <threadedComment ref="C70" dT="2025-11-12T10:09:17.78" personId="{40067C21-BBC2-4C2C-95BD-D475A557CE76}" id="{7DF3FD66-0092-48F3-82A2-AA448AA24345}">
    <text>Yield assumptions from OAF Macadamia Impact Model</text>
  </threadedComment>
  <threadedComment ref="E75" dT="2025-11-12T13:40:24.14" personId="{40067C21-BBC2-4C2C-95BD-D475A557CE76}" id="{D8A9F5EA-42F8-4E99-BF9B-5254B5DF5D31}">
    <text>Fertilizer + seedlings</text>
  </threadedComment>
  <threadedComment ref="F75" dT="2025-11-12T13:46:13.80" personId="{40067C21-BBC2-4C2C-95BD-D475A557CE76}" id="{F8579D53-C517-4426-A0E9-AE61F70250E1}">
    <text>Pesticide+fertilizer</text>
  </threadedComment>
  <threadedComment ref="L75" dT="2025-11-12T13:46:26.93" personId="{40067C21-BBC2-4C2C-95BD-D475A557CE76}" id="{198A7A84-688B-4018-85F5-C27CDEF84F91}">
    <text>Fertilizer only</text>
  </threadedComment>
  <threadedComment ref="C80" dT="2026-05-08T11:02:27.82" personId="{40067C21-BBC2-4C2C-95BD-D475A557CE76}" id="{5A065A09-913A-483F-8D2A-6F266D520FC4}">
    <text xml:space="preserve">In the HWG program, trees are only introduced in Buikwe in Yr 3 of the program. </text>
  </threadedComment>
  <threadedComment ref="C84" dT="2026-08-25T07:47:14.71" personId="{40067C21-BBC2-4C2C-95BD-D475A557CE76}" id="{814A9293-D573-490C-A736-1929FB3A0019}">
    <text>Acc to OAF Uganda Tree NPV Model maintenance costs are $0.40 Yr1-Yr7 and $0.17 afterwards. We use the same currency excange rate of 3400 UGX=1 USD</text>
  </threadedComment>
  <threadedComment ref="B96" dT="2025-11-06T09:39:36.84" personId="{40067C21-BBC2-4C2C-95BD-D475A557CE76}" id="{63FEB16C-3CD1-403D-875B-515A8F5BA7EC}">
    <text>We assume 1 farmer=0.97 households</text>
  </threadedComment>
  <threadedComment ref="H104" dT="2026-02-06T10:09:19.65" personId="{40067C21-BBC2-4C2C-95BD-D475A557CE76}" id="{AD5D65A8-F2BC-424F-830B-26890A1DAF0F}">
    <text>After 3 years, we do not account for further drop-out because full impact materializes after 3 year of program participation.</text>
  </threadedComment>
  <threadedComment ref="H135" dT="2026-02-05T13:53:48.29" personId="{40067C21-BBC2-4C2C-95BD-D475A557CE76}" id="{2F2BCBA1-D6D5-4D0F-AB4A-6CF529F111EA}">
    <text>OAF doesn‘t have a fixed program duration (as they stay in the project region and continue offering their services). We assume 3 years here because we measure program benefits 3 years after project start in the evaluation</text>
  </threadedComment>
  <threadedComment ref="D137" dT="2025-12-10T13:02:56.06" personId="{40067C21-BBC2-4C2C-95BD-D475A557CE76}" id="{8372606C-87A4-4010-823D-B908E3E154BD}">
    <text>Deduct EUR 5,710 from 2024 budget because OAF would have scouted fewer sites/districts without the evaluation.</text>
  </threadedComment>
  <threadedComment ref="E137" dT="2025-12-10T13:04:33.93" personId="{40067C21-BBC2-4C2C-95BD-D475A557CE76}" id="{0EF90D2A-8EC2-4E38-82E5-92B14278831F}">
    <text>Deduct EUR 137,508 for OAF yield study in control sites and increased operational expenses due to simultaneous rollout in 2 districts in Yr 1</text>
  </threadedComment>
  <threadedComment ref="F137" dT="2025-12-10T13:05:24.69" personId="{40067C21-BBC2-4C2C-95BD-D475A557CE76}" id="{D74C65EF-CA6B-463B-884A-1F77C5D6E95E}">
    <text>Deduct EUR 68,477 for OAF yield study in control sites</text>
  </threadedComment>
  <threadedComment ref="G137" dT="2025-12-10T13:05:57.69" personId="{40067C21-BBC2-4C2C-95BD-D475A557CE76}" id="{F5C04338-F946-4FE0-B8FA-5E79A1F2EAE4}">
    <text>Deduct EUR 24,980  for OAF yield study in control sites. Added 148,521 EUR in OAF co-funding</text>
  </threadedComment>
  <threadedComment ref="B155" dT="2026-08-14T12:45:48.06" personId="{40067C21-BBC2-4C2C-95BD-D475A557CE76}" id="{0A54EEBD-6CC4-4253-AEC2-59349A01CA4A}">
    <text>Compared to median baseline household consumption expenditure.</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7C999AC-20C4-4D5B-A14F-DD1B37A5C611}">
  <we:reference id="WA200010725" version="1.0.0.1" store="Omex" storeType="OMEX"/>
  <we:alternateReferences>
    <we:reference id="WA200010725" version="1.0.0.1" store="WA200010725" storeType="OMEX"/>
  </we:alternateReferences>
  <we:properties>
    <we:property name="claude.fileId" value="&quot;43609cbf-9624-4cbc-a698-0f5e96322710&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microsoft.com/office/2017/10/relationships/threadedComment" Target="../threadedComments/threadedComment1.xml"/><Relationship Id="rId2" Type="http://schemas.openxmlformats.org/officeDocument/2006/relationships/hyperlink" Target="https://www.laterite.com/" TargetMode="External"/><Relationship Id="rId1" Type="http://schemas.openxmlformats.org/officeDocument/2006/relationships/hyperlink" Target="https://oneacrefund.org/"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technoserve.org/wp-content/uploads/2017/04/triple-line-evaluation-of-the-coffee-initiative.pdf" TargetMode="External"/><Relationship Id="rId3" Type="http://schemas.openxmlformats.org/officeDocument/2006/relationships/hyperlink" Target="https://www.herewegrow.org/wp-content/uploads/2026/06/HereWeGrow_Laterite_OneAcreFund_Baseline-Report_2026.pdf" TargetMode="External"/><Relationship Id="rId7" Type="http://schemas.openxmlformats.org/officeDocument/2006/relationships/hyperlink" Target="https://data.worldbank.org/indicator/PA.NUS.PPP?locations=UG&amp;year=2008" TargetMode="External"/><Relationship Id="rId12" Type="http://schemas.microsoft.com/office/2017/10/relationships/threadedComment" Target="../threadedComments/threadedComment2.xml"/><Relationship Id="rId2" Type="http://schemas.openxmlformats.org/officeDocument/2006/relationships/hyperlink" Target="../../../../../../../../:u:/s/herewegrow.org/EcPvj0jmFfZHllQhbAPYrB4BfblQ7k-cteD4AvGkuUfXsw?e=tQMpIi" TargetMode="External"/><Relationship Id="rId1" Type="http://schemas.openxmlformats.org/officeDocument/2006/relationships/hyperlink" Target="https://data.imf.org/en/Data-Explorer?datasetUrn=IMF.RES:WEO(9.0.0)&amp;INDICATOR=NGDP_D&amp;COUNTRY=DEU,UGA" TargetMode="External"/><Relationship Id="rId6" Type="http://schemas.openxmlformats.org/officeDocument/2006/relationships/hyperlink" Target="https://www.exchange-rates.org/exchange-rate-history/ugx-usd-2024" TargetMode="External"/><Relationship Id="rId11" Type="http://schemas.openxmlformats.org/officeDocument/2006/relationships/comments" Target="../comments2.xml"/><Relationship Id="rId5" Type="http://schemas.openxmlformats.org/officeDocument/2006/relationships/hyperlink" Target="https://www.exchange-rates.org/exchange-rate-history/ugx-eur-2021" TargetMode="External"/><Relationship Id="rId10" Type="http://schemas.openxmlformats.org/officeDocument/2006/relationships/vmlDrawing" Target="../drawings/vmlDrawing2.vml"/><Relationship Id="rId4" Type="http://schemas.openxmlformats.org/officeDocument/2006/relationships/hyperlink" Target="https://www.herewegrow.org/wp-content/uploads/2026/06/HereWeGrow_Laterite_OneAcreFund_Baseline-Report_2026.pdf"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16F16-6275-4823-BE92-E48E7D0D0703}">
  <dimension ref="A1:N82"/>
  <sheetViews>
    <sheetView showGridLines="0" tabSelected="1" topLeftCell="A6" zoomScaleNormal="100" workbookViewId="0">
      <selection activeCell="C18" sqref="C18"/>
    </sheetView>
  </sheetViews>
  <sheetFormatPr defaultColWidth="8.5546875" defaultRowHeight="14.4" x14ac:dyDescent="0.3"/>
  <cols>
    <col min="1" max="1" width="4.44140625" style="8" customWidth="1"/>
    <col min="2" max="2" width="29.5546875" style="8" customWidth="1"/>
    <col min="3" max="3" width="58" style="47" customWidth="1"/>
    <col min="4" max="4" width="16.21875" customWidth="1"/>
    <col min="5" max="5" width="6.77734375" customWidth="1"/>
    <col min="6" max="7" width="19.5546875" customWidth="1"/>
    <col min="12" max="12" width="4.5546875" customWidth="1"/>
  </cols>
  <sheetData>
    <row r="1" spans="1:12" x14ac:dyDescent="0.3">
      <c r="A1" s="17"/>
      <c r="B1" s="18"/>
      <c r="C1" s="19"/>
      <c r="D1" s="20"/>
      <c r="E1" s="20"/>
      <c r="F1" s="20"/>
      <c r="G1" s="20"/>
      <c r="H1" s="20"/>
      <c r="I1" s="20"/>
      <c r="J1" s="20"/>
      <c r="K1" s="20"/>
      <c r="L1" s="21"/>
    </row>
    <row r="2" spans="1:12" ht="51" customHeight="1" x14ac:dyDescent="0.35">
      <c r="A2" s="22"/>
      <c r="B2" s="23" t="s">
        <v>0</v>
      </c>
      <c r="C2" s="424" t="s">
        <v>1</v>
      </c>
      <c r="D2" s="424"/>
      <c r="E2" s="24"/>
      <c r="F2" s="24"/>
      <c r="G2" s="24"/>
      <c r="H2" s="24"/>
      <c r="I2" s="24"/>
      <c r="J2" s="24"/>
      <c r="K2" s="24"/>
      <c r="L2" s="25"/>
    </row>
    <row r="3" spans="1:12" x14ac:dyDescent="0.3">
      <c r="A3" s="26"/>
      <c r="B3" s="27"/>
      <c r="C3" s="28"/>
      <c r="D3" s="24"/>
      <c r="E3" s="24"/>
      <c r="F3" s="24"/>
      <c r="G3" s="24"/>
      <c r="H3" s="24"/>
      <c r="I3" s="24"/>
      <c r="J3" s="24"/>
      <c r="K3" s="24"/>
      <c r="L3" s="25"/>
    </row>
    <row r="4" spans="1:12" ht="18" x14ac:dyDescent="0.35">
      <c r="A4" s="29"/>
      <c r="B4" s="30" t="s">
        <v>2</v>
      </c>
      <c r="C4" s="31"/>
      <c r="D4" s="6"/>
      <c r="E4" s="220"/>
      <c r="F4" s="220"/>
      <c r="G4" s="220"/>
      <c r="H4" s="220"/>
      <c r="I4" s="32"/>
      <c r="J4" s="32"/>
      <c r="K4" s="32"/>
      <c r="L4" s="33"/>
    </row>
    <row r="5" spans="1:12" ht="18" x14ac:dyDescent="0.35">
      <c r="A5" s="221"/>
      <c r="B5" s="34"/>
      <c r="C5" s="35"/>
      <c r="D5" s="36"/>
      <c r="E5" s="222"/>
      <c r="F5" s="222"/>
      <c r="G5" s="222"/>
      <c r="H5" s="222"/>
      <c r="I5" s="24"/>
      <c r="J5" s="24"/>
      <c r="K5" s="24"/>
      <c r="L5" s="25"/>
    </row>
    <row r="6" spans="1:12" ht="33.75" customHeight="1" x14ac:dyDescent="0.35">
      <c r="A6" s="221"/>
      <c r="B6" s="37" t="s">
        <v>3</v>
      </c>
      <c r="C6" s="223" t="s">
        <v>1</v>
      </c>
      <c r="D6" s="38"/>
      <c r="E6" s="222"/>
      <c r="F6" s="222"/>
      <c r="G6" s="222"/>
      <c r="H6" s="222"/>
      <c r="I6" s="24"/>
      <c r="J6" s="24"/>
      <c r="K6" s="24"/>
      <c r="L6" s="25"/>
    </row>
    <row r="7" spans="1:12" x14ac:dyDescent="0.3">
      <c r="A7" s="221"/>
      <c r="B7" s="39" t="s">
        <v>4</v>
      </c>
      <c r="C7" s="216" t="s">
        <v>5</v>
      </c>
      <c r="D7" s="224"/>
      <c r="E7" s="222"/>
      <c r="F7" s="222"/>
      <c r="G7" s="222"/>
      <c r="H7" s="222"/>
      <c r="I7" s="24"/>
      <c r="J7" s="24"/>
      <c r="K7" s="24"/>
      <c r="L7" s="25"/>
    </row>
    <row r="8" spans="1:12" x14ac:dyDescent="0.3">
      <c r="A8" s="221"/>
      <c r="B8" s="39" t="s">
        <v>6</v>
      </c>
      <c r="C8" s="217" t="s">
        <v>7</v>
      </c>
      <c r="D8" s="40"/>
      <c r="E8" s="222"/>
      <c r="F8" s="222"/>
      <c r="G8" s="222"/>
      <c r="H8" s="222"/>
      <c r="I8" s="24"/>
      <c r="J8" s="24"/>
      <c r="K8" s="24"/>
      <c r="L8" s="25"/>
    </row>
    <row r="9" spans="1:12" x14ac:dyDescent="0.3">
      <c r="A9" s="221"/>
      <c r="B9" s="39" t="s">
        <v>8</v>
      </c>
      <c r="C9" s="223" t="s">
        <v>9</v>
      </c>
      <c r="D9" s="224"/>
      <c r="E9" s="222"/>
      <c r="F9" s="222"/>
      <c r="G9" s="222"/>
      <c r="H9" s="222"/>
      <c r="I9" s="24"/>
      <c r="J9" s="24"/>
      <c r="K9" s="24"/>
      <c r="L9" s="25"/>
    </row>
    <row r="10" spans="1:12" x14ac:dyDescent="0.3">
      <c r="A10" s="221"/>
      <c r="B10" s="39" t="s">
        <v>10</v>
      </c>
      <c r="C10" s="223" t="s">
        <v>11</v>
      </c>
      <c r="D10" s="224"/>
      <c r="E10" s="222"/>
      <c r="F10" s="222"/>
      <c r="G10" s="222"/>
      <c r="H10" s="222"/>
      <c r="I10" s="24"/>
      <c r="J10" s="24"/>
      <c r="K10" s="24"/>
      <c r="L10" s="25"/>
    </row>
    <row r="11" spans="1:12" x14ac:dyDescent="0.3">
      <c r="A11" s="221"/>
      <c r="B11" s="39" t="s">
        <v>12</v>
      </c>
      <c r="C11" s="225" t="s">
        <v>13</v>
      </c>
      <c r="D11" s="224"/>
      <c r="E11" s="222"/>
      <c r="F11" s="222"/>
      <c r="G11" s="222"/>
      <c r="H11" s="222"/>
      <c r="I11" s="24"/>
      <c r="J11" s="24"/>
      <c r="K11" s="24"/>
      <c r="L11" s="25"/>
    </row>
    <row r="12" spans="1:12" ht="30" customHeight="1" x14ac:dyDescent="0.3">
      <c r="A12" s="221"/>
      <c r="B12" s="39" t="s">
        <v>14</v>
      </c>
      <c r="C12" s="226" t="s">
        <v>15</v>
      </c>
      <c r="D12" s="224"/>
      <c r="E12" s="222"/>
      <c r="F12" s="222"/>
      <c r="G12" s="222"/>
      <c r="H12" s="222"/>
      <c r="I12" s="24"/>
      <c r="J12" s="24"/>
      <c r="K12" s="24"/>
      <c r="L12" s="25"/>
    </row>
    <row r="13" spans="1:12" x14ac:dyDescent="0.3">
      <c r="A13" s="221"/>
      <c r="B13" s="39" t="s">
        <v>291</v>
      </c>
      <c r="C13" s="227">
        <f>SUM(SROI!D137:G137)</f>
        <v>3256483</v>
      </c>
      <c r="D13" s="70"/>
      <c r="E13" s="222"/>
      <c r="F13" s="222"/>
      <c r="G13" s="222"/>
      <c r="H13" s="222"/>
      <c r="I13" s="24"/>
      <c r="J13" s="24"/>
      <c r="K13" s="24"/>
      <c r="L13" s="25"/>
    </row>
    <row r="14" spans="1:12" x14ac:dyDescent="0.3">
      <c r="A14" s="221"/>
      <c r="B14" s="39" t="s">
        <v>280</v>
      </c>
      <c r="C14" s="228">
        <f>SUM(SROI!D101:G101)+SUM(SROI!D115:G115)</f>
        <v>41346.25</v>
      </c>
      <c r="D14" s="224" t="s">
        <v>16</v>
      </c>
      <c r="E14" s="222"/>
      <c r="F14" s="222"/>
      <c r="G14" s="222"/>
      <c r="H14" s="222"/>
      <c r="I14" s="24"/>
      <c r="J14" s="24"/>
      <c r="K14" s="24"/>
      <c r="L14" s="25"/>
    </row>
    <row r="15" spans="1:12" x14ac:dyDescent="0.3">
      <c r="A15" s="221"/>
      <c r="B15" s="39" t="s">
        <v>281</v>
      </c>
      <c r="C15" s="228">
        <f>'Model input'!F85</f>
        <v>32980</v>
      </c>
      <c r="D15" s="224" t="s">
        <v>16</v>
      </c>
      <c r="E15" s="222"/>
      <c r="F15" s="222"/>
      <c r="G15" s="222"/>
      <c r="H15" s="222"/>
      <c r="I15" s="24"/>
      <c r="J15" s="24"/>
      <c r="K15" s="24"/>
      <c r="L15" s="25"/>
    </row>
    <row r="16" spans="1:12" x14ac:dyDescent="0.3">
      <c r="A16" s="221"/>
      <c r="B16" s="39" t="s">
        <v>17</v>
      </c>
      <c r="C16" s="229">
        <v>46235</v>
      </c>
      <c r="D16" s="224"/>
      <c r="E16" s="222"/>
      <c r="F16" s="222"/>
      <c r="G16" s="222"/>
      <c r="H16" s="222"/>
      <c r="I16" s="24"/>
      <c r="J16" s="24"/>
      <c r="K16" s="24"/>
      <c r="L16" s="25"/>
    </row>
    <row r="17" spans="1:12" x14ac:dyDescent="0.3">
      <c r="A17" s="221"/>
      <c r="B17" s="39" t="s">
        <v>18</v>
      </c>
      <c r="C17" s="229" t="s">
        <v>19</v>
      </c>
      <c r="D17" s="224"/>
      <c r="E17" s="222"/>
      <c r="F17" s="222"/>
      <c r="G17" s="222"/>
      <c r="H17" s="222"/>
      <c r="I17" s="24"/>
      <c r="J17" s="24"/>
      <c r="K17" s="24"/>
      <c r="L17" s="25"/>
    </row>
    <row r="18" spans="1:12" ht="42.6" customHeight="1" x14ac:dyDescent="0.3">
      <c r="A18" s="221"/>
      <c r="B18" s="41"/>
      <c r="C18" s="230"/>
      <c r="D18" s="222"/>
      <c r="E18" s="222"/>
      <c r="F18" s="222"/>
      <c r="G18" s="222"/>
      <c r="H18" s="222"/>
      <c r="I18" s="24"/>
      <c r="J18" s="24"/>
      <c r="K18" s="24"/>
      <c r="L18" s="25"/>
    </row>
    <row r="19" spans="1:12" ht="18" x14ac:dyDescent="0.35">
      <c r="A19" s="29"/>
      <c r="B19" s="30" t="s">
        <v>20</v>
      </c>
      <c r="C19" s="31"/>
      <c r="D19" s="6"/>
      <c r="E19" s="6"/>
      <c r="F19" s="6"/>
      <c r="G19" s="6"/>
      <c r="H19" s="6"/>
      <c r="I19" s="6"/>
      <c r="J19" s="6"/>
      <c r="K19" s="6"/>
      <c r="L19" s="42"/>
    </row>
    <row r="20" spans="1:12" ht="18" x14ac:dyDescent="0.35">
      <c r="A20" s="43"/>
      <c r="B20" s="34"/>
      <c r="C20" s="35"/>
      <c r="D20" s="36"/>
      <c r="E20" s="222"/>
      <c r="F20" s="222"/>
      <c r="G20" s="222"/>
      <c r="H20" s="222"/>
      <c r="I20" s="24"/>
      <c r="J20" s="24"/>
      <c r="K20" s="24"/>
      <c r="L20" s="25"/>
    </row>
    <row r="21" spans="1:12" ht="18" x14ac:dyDescent="0.35">
      <c r="A21" s="44"/>
      <c r="B21" s="45" t="s">
        <v>21</v>
      </c>
      <c r="C21" s="93">
        <f>SROI!C159</f>
        <v>7.9186913069726845</v>
      </c>
      <c r="D21" s="24"/>
      <c r="E21" s="222"/>
      <c r="F21" s="222"/>
      <c r="G21" s="222"/>
      <c r="H21" s="222"/>
      <c r="I21" s="24"/>
      <c r="J21" s="24"/>
      <c r="K21" s="24"/>
      <c r="L21" s="25"/>
    </row>
    <row r="22" spans="1:12" x14ac:dyDescent="0.3">
      <c r="A22" s="46"/>
      <c r="B22" s="39" t="s">
        <v>22</v>
      </c>
      <c r="C22" s="223" t="s">
        <v>23</v>
      </c>
      <c r="D22" s="222"/>
      <c r="E22" s="222"/>
      <c r="F22" s="222"/>
      <c r="G22" s="222"/>
      <c r="H22" s="222"/>
      <c r="I22" s="24"/>
      <c r="J22" s="24"/>
      <c r="K22" s="24"/>
      <c r="L22" s="25"/>
    </row>
    <row r="23" spans="1:12" x14ac:dyDescent="0.3">
      <c r="A23" s="46"/>
      <c r="B23" s="39" t="s">
        <v>24</v>
      </c>
      <c r="C23" s="223" t="s">
        <v>25</v>
      </c>
      <c r="D23" s="24"/>
      <c r="E23" s="222"/>
      <c r="F23" s="222"/>
      <c r="G23" s="222"/>
      <c r="H23" s="222"/>
      <c r="I23" s="24"/>
      <c r="J23" s="24"/>
      <c r="K23" s="24"/>
      <c r="L23" s="25"/>
    </row>
    <row r="24" spans="1:12" x14ac:dyDescent="0.3">
      <c r="A24" s="46"/>
      <c r="B24" s="39" t="s">
        <v>293</v>
      </c>
      <c r="C24" s="223" t="s">
        <v>26</v>
      </c>
      <c r="D24" s="24"/>
      <c r="E24" s="222"/>
      <c r="F24" s="222"/>
      <c r="G24" s="222"/>
      <c r="H24" s="222"/>
      <c r="I24" s="24"/>
      <c r="J24" s="24"/>
      <c r="K24" s="24"/>
      <c r="L24" s="25"/>
    </row>
    <row r="25" spans="1:12" x14ac:dyDescent="0.3">
      <c r="A25" s="46"/>
      <c r="D25" s="24"/>
      <c r="E25" s="24"/>
      <c r="F25" s="24"/>
      <c r="G25" s="24"/>
      <c r="H25" s="24"/>
      <c r="I25" s="24"/>
      <c r="J25" s="24"/>
      <c r="K25" s="24"/>
      <c r="L25" s="25"/>
    </row>
    <row r="26" spans="1:12" ht="40.799999999999997" x14ac:dyDescent="0.3">
      <c r="A26" s="46"/>
      <c r="B26" s="218" t="s">
        <v>27</v>
      </c>
      <c r="C26" s="231" t="s">
        <v>28</v>
      </c>
      <c r="D26" s="24"/>
      <c r="E26" s="24"/>
      <c r="F26" s="24"/>
      <c r="G26" s="24"/>
      <c r="H26" s="24"/>
      <c r="I26" s="24"/>
      <c r="J26" s="24"/>
      <c r="K26" s="24"/>
      <c r="L26" s="25"/>
    </row>
    <row r="27" spans="1:12" x14ac:dyDescent="0.3">
      <c r="A27" s="46"/>
      <c r="B27" s="219" t="s">
        <v>29</v>
      </c>
      <c r="C27" s="232">
        <f>'Sensitivity analysis'!G39</f>
        <v>2.7612032126459121</v>
      </c>
      <c r="D27" s="24"/>
      <c r="E27" s="24"/>
      <c r="F27" s="24"/>
      <c r="G27" s="24"/>
      <c r="H27" s="24"/>
      <c r="I27" s="24"/>
      <c r="J27" s="24"/>
      <c r="K27" s="24"/>
      <c r="L27" s="25"/>
    </row>
    <row r="28" spans="1:12" x14ac:dyDescent="0.3">
      <c r="A28" s="46"/>
      <c r="B28" s="219" t="s">
        <v>30</v>
      </c>
      <c r="C28" s="232">
        <f>'Sensitivity analysis'!J74</f>
        <v>8.8919231756948172</v>
      </c>
      <c r="D28" s="24"/>
      <c r="E28" s="24"/>
      <c r="F28" s="24"/>
      <c r="G28" s="24"/>
      <c r="H28" s="24"/>
      <c r="I28" s="24"/>
      <c r="J28" s="24"/>
      <c r="K28" s="24"/>
      <c r="L28" s="25"/>
    </row>
    <row r="29" spans="1:12" ht="15" customHeight="1" x14ac:dyDescent="0.35">
      <c r="A29" s="43"/>
      <c r="B29" s="34"/>
      <c r="C29" s="35"/>
      <c r="D29" s="36"/>
      <c r="E29" s="222"/>
      <c r="F29" s="222"/>
      <c r="G29" s="222"/>
      <c r="H29" s="222"/>
      <c r="I29" s="24"/>
      <c r="J29" s="24"/>
      <c r="K29" s="24"/>
      <c r="L29" s="25"/>
    </row>
    <row r="30" spans="1:12" ht="18" x14ac:dyDescent="0.35">
      <c r="A30" s="29"/>
      <c r="B30" s="30" t="s">
        <v>31</v>
      </c>
      <c r="C30" s="31"/>
      <c r="D30" s="6"/>
      <c r="E30" s="220"/>
      <c r="F30" s="220"/>
      <c r="G30" s="220"/>
      <c r="H30" s="220"/>
      <c r="I30" s="32"/>
      <c r="J30" s="32"/>
      <c r="K30" s="32"/>
      <c r="L30" s="33"/>
    </row>
    <row r="31" spans="1:12" ht="18" x14ac:dyDescent="0.35">
      <c r="A31" s="43"/>
      <c r="B31" s="34"/>
      <c r="C31" s="35"/>
      <c r="D31" s="36"/>
      <c r="E31" s="222"/>
      <c r="F31" s="222"/>
      <c r="G31" s="222"/>
      <c r="H31" s="222"/>
      <c r="I31" s="24"/>
      <c r="J31" s="24"/>
      <c r="K31" s="24"/>
      <c r="L31" s="25"/>
    </row>
    <row r="32" spans="1:12" x14ac:dyDescent="0.3">
      <c r="A32" s="46"/>
      <c r="B32" s="39" t="s">
        <v>32</v>
      </c>
      <c r="C32" s="356" t="s">
        <v>292</v>
      </c>
      <c r="D32" s="222"/>
      <c r="E32" s="222"/>
      <c r="F32" s="222"/>
      <c r="G32" s="222"/>
      <c r="H32" s="222"/>
      <c r="I32" s="24"/>
      <c r="J32" s="24"/>
      <c r="K32" s="24"/>
      <c r="L32" s="25"/>
    </row>
    <row r="33" spans="1:12" x14ac:dyDescent="0.3">
      <c r="A33" s="46"/>
      <c r="B33" s="39" t="s">
        <v>33</v>
      </c>
      <c r="C33" s="223" t="s">
        <v>34</v>
      </c>
      <c r="D33" s="222"/>
      <c r="E33" s="222"/>
      <c r="F33" s="222"/>
      <c r="G33" s="222"/>
      <c r="H33" s="222"/>
      <c r="I33" s="24"/>
      <c r="J33" s="24"/>
      <c r="K33" s="24"/>
      <c r="L33" s="25"/>
    </row>
    <row r="34" spans="1:12" ht="28.8" x14ac:dyDescent="0.3">
      <c r="A34" s="46"/>
      <c r="B34" s="39" t="s">
        <v>35</v>
      </c>
      <c r="C34" s="223" t="s">
        <v>36</v>
      </c>
      <c r="D34" s="222"/>
      <c r="E34" s="222"/>
      <c r="F34" s="222"/>
      <c r="G34" s="222"/>
      <c r="H34" s="222"/>
      <c r="I34" s="24"/>
      <c r="J34" s="24"/>
      <c r="K34" s="24"/>
      <c r="L34" s="25"/>
    </row>
    <row r="35" spans="1:12" x14ac:dyDescent="0.3">
      <c r="A35" s="46"/>
      <c r="B35" s="39" t="s">
        <v>37</v>
      </c>
      <c r="C35" s="223" t="s">
        <v>38</v>
      </c>
      <c r="D35" s="222"/>
      <c r="E35" s="222"/>
      <c r="F35" s="222"/>
      <c r="G35" s="222"/>
      <c r="H35" s="222"/>
      <c r="I35" s="24"/>
      <c r="J35" s="24"/>
      <c r="K35" s="24"/>
      <c r="L35" s="25"/>
    </row>
    <row r="36" spans="1:12" ht="30" customHeight="1" x14ac:dyDescent="0.3">
      <c r="A36" s="46"/>
      <c r="B36" s="39" t="s">
        <v>39</v>
      </c>
      <c r="C36" s="223" t="s">
        <v>40</v>
      </c>
      <c r="D36" s="222"/>
      <c r="E36" s="222"/>
      <c r="F36" s="222"/>
      <c r="G36" s="222"/>
      <c r="H36" s="222"/>
      <c r="I36" s="24"/>
      <c r="J36" s="24"/>
      <c r="K36" s="24"/>
      <c r="L36" s="25"/>
    </row>
    <row r="37" spans="1:12" x14ac:dyDescent="0.3">
      <c r="A37" s="46"/>
      <c r="B37" s="39" t="s">
        <v>41</v>
      </c>
      <c r="C37" s="223" t="s">
        <v>42</v>
      </c>
      <c r="D37" s="222"/>
      <c r="E37" s="222"/>
      <c r="F37" s="222"/>
      <c r="G37" s="222"/>
      <c r="H37" s="222"/>
      <c r="I37" s="24"/>
      <c r="J37" s="24"/>
      <c r="K37" s="24"/>
      <c r="L37" s="25"/>
    </row>
    <row r="38" spans="1:12" x14ac:dyDescent="0.3">
      <c r="A38" s="233"/>
      <c r="B38" s="234"/>
      <c r="C38" s="230"/>
      <c r="D38" s="222"/>
      <c r="E38" s="222"/>
      <c r="F38" s="222"/>
      <c r="G38" s="222"/>
      <c r="H38" s="222"/>
      <c r="I38" s="24"/>
      <c r="J38" s="24"/>
      <c r="K38" s="24"/>
      <c r="L38" s="25"/>
    </row>
    <row r="39" spans="1:12" ht="18" x14ac:dyDescent="0.35">
      <c r="A39" s="29"/>
      <c r="B39" s="30" t="s">
        <v>43</v>
      </c>
      <c r="C39" s="31"/>
      <c r="D39" s="6"/>
      <c r="E39" s="220"/>
      <c r="F39" s="220"/>
      <c r="G39" s="220"/>
      <c r="H39" s="220"/>
      <c r="I39" s="32"/>
      <c r="J39" s="32"/>
      <c r="K39" s="32"/>
      <c r="L39" s="33"/>
    </row>
    <row r="40" spans="1:12" ht="18" x14ac:dyDescent="0.35">
      <c r="A40" s="46"/>
      <c r="B40" s="41"/>
      <c r="C40" s="35"/>
      <c r="D40" s="36"/>
      <c r="E40" s="222"/>
      <c r="F40" s="222"/>
      <c r="G40" s="222"/>
      <c r="H40" s="222"/>
      <c r="I40" s="24"/>
      <c r="J40" s="24"/>
      <c r="K40" s="24"/>
      <c r="L40" s="25"/>
    </row>
    <row r="41" spans="1:12" x14ac:dyDescent="0.3">
      <c r="A41" s="46"/>
      <c r="B41" s="39" t="s">
        <v>44</v>
      </c>
      <c r="C41" s="425" t="s">
        <v>45</v>
      </c>
      <c r="D41" s="425"/>
      <c r="E41" s="425"/>
      <c r="F41" s="222"/>
      <c r="G41" s="222"/>
      <c r="H41" s="222"/>
      <c r="I41" s="24"/>
      <c r="J41" s="24"/>
      <c r="K41" s="24"/>
      <c r="L41" s="25"/>
    </row>
    <row r="42" spans="1:12" ht="30" customHeight="1" x14ac:dyDescent="0.3">
      <c r="A42" s="46"/>
      <c r="B42" s="71" t="s">
        <v>46</v>
      </c>
      <c r="C42" s="425" t="s">
        <v>45</v>
      </c>
      <c r="D42" s="425"/>
      <c r="E42" s="425"/>
      <c r="F42" s="222"/>
      <c r="G42" s="222"/>
      <c r="H42" s="222"/>
      <c r="I42" s="24"/>
      <c r="J42" s="24"/>
      <c r="K42" s="24"/>
      <c r="L42" s="25"/>
    </row>
    <row r="43" spans="1:12" x14ac:dyDescent="0.3">
      <c r="A43" s="48"/>
      <c r="B43" s="49"/>
      <c r="C43" s="28"/>
      <c r="D43" s="24"/>
      <c r="E43" s="24"/>
      <c r="F43" s="24"/>
      <c r="G43" s="24"/>
      <c r="H43" s="24"/>
      <c r="I43" s="24"/>
      <c r="J43" s="24"/>
      <c r="K43" s="24"/>
      <c r="L43" s="25"/>
    </row>
    <row r="44" spans="1:12" ht="18" x14ac:dyDescent="0.35">
      <c r="A44" s="29"/>
      <c r="B44" s="30" t="s">
        <v>47</v>
      </c>
      <c r="C44" s="31"/>
      <c r="D44" s="6"/>
      <c r="E44" s="220"/>
      <c r="F44" s="220"/>
      <c r="G44" s="220"/>
      <c r="H44" s="220"/>
      <c r="I44" s="32"/>
      <c r="J44" s="32"/>
      <c r="K44" s="32"/>
      <c r="L44" s="33"/>
    </row>
    <row r="45" spans="1:12" x14ac:dyDescent="0.3">
      <c r="A45" s="48"/>
      <c r="B45" s="49"/>
      <c r="C45" s="28"/>
      <c r="D45" s="24"/>
      <c r="E45" s="24"/>
      <c r="F45" s="24"/>
      <c r="G45" s="24"/>
      <c r="H45" s="24"/>
      <c r="I45" s="24"/>
      <c r="J45" s="24"/>
      <c r="K45" s="24"/>
      <c r="L45" s="25"/>
    </row>
    <row r="46" spans="1:12" x14ac:dyDescent="0.3">
      <c r="A46" s="48"/>
      <c r="B46" s="49"/>
      <c r="C46" s="28"/>
      <c r="D46" s="24"/>
      <c r="H46" s="24"/>
      <c r="I46" s="24"/>
      <c r="J46" s="24"/>
      <c r="K46" s="24"/>
      <c r="L46" s="25"/>
    </row>
    <row r="47" spans="1:12" x14ac:dyDescent="0.3">
      <c r="A47" s="48"/>
      <c r="B47" s="49"/>
      <c r="D47" s="50"/>
      <c r="G47" s="51"/>
      <c r="H47" s="24"/>
      <c r="I47" s="24"/>
      <c r="J47" s="24"/>
      <c r="K47" s="24"/>
      <c r="L47" s="25"/>
    </row>
    <row r="48" spans="1:12" x14ac:dyDescent="0.3">
      <c r="A48" s="52"/>
      <c r="B48" t="s">
        <v>48</v>
      </c>
      <c r="C48" s="81">
        <f>SROI!C145</f>
        <v>69.240467477907643</v>
      </c>
      <c r="D48" s="50"/>
      <c r="G48" s="51"/>
      <c r="H48" s="24"/>
      <c r="I48" s="24"/>
      <c r="J48" s="24"/>
      <c r="K48" s="24"/>
      <c r="L48" s="25"/>
    </row>
    <row r="49" spans="1:12" x14ac:dyDescent="0.3">
      <c r="A49" s="52"/>
      <c r="B49" t="s">
        <v>49</v>
      </c>
      <c r="C49" s="81">
        <f>SROI!C152</f>
        <v>548.29388790803216</v>
      </c>
      <c r="D49" s="50"/>
      <c r="G49" s="51"/>
      <c r="H49" s="24"/>
      <c r="I49" s="24"/>
      <c r="J49" s="24"/>
      <c r="K49" s="24"/>
      <c r="L49" s="25"/>
    </row>
    <row r="50" spans="1:12" x14ac:dyDescent="0.3">
      <c r="A50" s="52"/>
      <c r="B50" s="49" t="s">
        <v>50</v>
      </c>
      <c r="C50" s="81">
        <f>SROI!C154</f>
        <v>479.0534204301245</v>
      </c>
      <c r="D50" s="50"/>
      <c r="F50" t="s">
        <v>51</v>
      </c>
      <c r="G50" s="51" t="s">
        <v>52</v>
      </c>
      <c r="H50" s="24"/>
      <c r="I50" s="24"/>
      <c r="J50" s="24"/>
      <c r="K50" s="24"/>
      <c r="L50" s="25"/>
    </row>
    <row r="51" spans="1:12" x14ac:dyDescent="0.3">
      <c r="A51" s="48"/>
      <c r="C51" s="82"/>
      <c r="D51" s="24"/>
      <c r="E51" t="s">
        <v>53</v>
      </c>
      <c r="F51" s="91">
        <f>SUM(SROI!D14:N14)/F55</f>
        <v>0.90284374846116877</v>
      </c>
      <c r="G51" s="91">
        <f>SUM(SROI!D61:M61)/G55</f>
        <v>0.80905779312068948</v>
      </c>
      <c r="H51" s="24"/>
      <c r="I51" s="24"/>
      <c r="J51" s="24"/>
      <c r="K51" s="24"/>
      <c r="L51" s="25"/>
    </row>
    <row r="52" spans="1:12" x14ac:dyDescent="0.3">
      <c r="A52" s="48"/>
      <c r="D52" s="24"/>
      <c r="E52" t="s">
        <v>54</v>
      </c>
      <c r="F52" s="91">
        <f>SUM(SROI!D22:N22)/F55</f>
        <v>6.3214078441078535E-4</v>
      </c>
      <c r="G52" s="91">
        <f>SUM(SROI!D69:M69)/G55</f>
        <v>2.1520728355928906E-3</v>
      </c>
      <c r="H52" s="24"/>
      <c r="I52" s="24"/>
      <c r="J52" s="24"/>
      <c r="K52" s="24"/>
      <c r="L52" s="25"/>
    </row>
    <row r="53" spans="1:12" x14ac:dyDescent="0.3">
      <c r="A53" s="26"/>
      <c r="B53" s="27"/>
      <c r="C53" s="28"/>
      <c r="D53" s="24"/>
      <c r="E53" t="s">
        <v>55</v>
      </c>
      <c r="F53" s="91">
        <f>SUM(SROI!D32:N32)/F55</f>
        <v>4.3410637123780993E-3</v>
      </c>
      <c r="G53" s="91">
        <f>SUM(SROI!D79:M79)/G55</f>
        <v>1.1400724755601013E-2</v>
      </c>
      <c r="H53" s="24"/>
      <c r="I53" s="24"/>
      <c r="J53" s="24"/>
      <c r="K53" s="24"/>
      <c r="L53" s="25"/>
    </row>
    <row r="54" spans="1:12" x14ac:dyDescent="0.3">
      <c r="A54" s="26"/>
      <c r="B54" s="27"/>
      <c r="C54" s="28"/>
      <c r="D54" s="24"/>
      <c r="E54" t="s">
        <v>56</v>
      </c>
      <c r="F54" s="91">
        <f>SUM(SROI!D41:N41)/F55</f>
        <v>9.2183047042042471E-2</v>
      </c>
      <c r="G54" s="91">
        <f>SUM(SROI!D88:N88)/G55</f>
        <v>0.17738940928811653</v>
      </c>
      <c r="H54" s="24"/>
      <c r="J54" s="24"/>
      <c r="K54" s="24"/>
      <c r="L54" s="25"/>
    </row>
    <row r="55" spans="1:12" x14ac:dyDescent="0.3">
      <c r="A55" s="26"/>
      <c r="B55" s="27"/>
      <c r="C55" s="28"/>
      <c r="D55" s="24"/>
      <c r="E55" s="24"/>
      <c r="F55" s="81">
        <f>SUM(SROI!D44:N44)</f>
        <v>1136.1005120514053</v>
      </c>
      <c r="G55" s="81">
        <f>SUM(SROI!D91:M91)</f>
        <v>475.85335962639783</v>
      </c>
      <c r="H55" s="24"/>
      <c r="I55" s="24"/>
      <c r="J55" s="24"/>
      <c r="K55" s="24"/>
      <c r="L55" s="25"/>
    </row>
    <row r="56" spans="1:12" x14ac:dyDescent="0.3">
      <c r="A56" s="26"/>
      <c r="B56" s="27"/>
      <c r="C56" s="28"/>
      <c r="D56" s="24"/>
      <c r="E56" s="24"/>
      <c r="F56" s="92"/>
      <c r="G56" s="24"/>
      <c r="H56" s="24"/>
      <c r="I56" s="24"/>
      <c r="J56" s="24"/>
      <c r="K56" s="24"/>
      <c r="L56" s="25"/>
    </row>
    <row r="57" spans="1:12" x14ac:dyDescent="0.3">
      <c r="A57" s="26"/>
      <c r="B57" s="27"/>
      <c r="C57" s="28"/>
      <c r="D57" s="24"/>
      <c r="E57" s="24"/>
      <c r="F57" s="24"/>
      <c r="G57" s="24"/>
      <c r="H57" s="24"/>
      <c r="I57" s="24"/>
      <c r="J57" s="24"/>
      <c r="K57" s="24"/>
      <c r="L57" s="25"/>
    </row>
    <row r="58" spans="1:12" x14ac:dyDescent="0.3">
      <c r="A58" s="26"/>
      <c r="B58" s="27"/>
      <c r="C58" s="28"/>
      <c r="D58" s="24"/>
      <c r="E58" s="24"/>
      <c r="F58" s="24"/>
      <c r="G58" s="24"/>
      <c r="H58" s="24"/>
      <c r="I58" s="24"/>
      <c r="J58" s="24"/>
      <c r="K58" s="24"/>
      <c r="L58" s="25"/>
    </row>
    <row r="59" spans="1:12" x14ac:dyDescent="0.3">
      <c r="A59" s="26"/>
      <c r="B59" s="27"/>
      <c r="C59" s="28"/>
      <c r="D59" s="24"/>
      <c r="E59" s="24"/>
      <c r="F59" s="24"/>
      <c r="G59" s="24"/>
      <c r="H59" s="24"/>
      <c r="I59" s="24"/>
      <c r="J59" s="24"/>
      <c r="K59" s="24"/>
      <c r="L59" s="25"/>
    </row>
    <row r="60" spans="1:12" x14ac:dyDescent="0.3">
      <c r="A60" s="26"/>
      <c r="B60" s="27"/>
      <c r="C60" s="28"/>
      <c r="D60" s="24"/>
      <c r="E60" s="24"/>
      <c r="F60" s="24"/>
      <c r="G60" s="24"/>
      <c r="H60" s="24"/>
      <c r="I60" s="24"/>
      <c r="J60" s="24"/>
      <c r="K60" s="24"/>
      <c r="L60" s="25"/>
    </row>
    <row r="61" spans="1:12" x14ac:dyDescent="0.3">
      <c r="A61" s="26"/>
      <c r="B61" s="27"/>
      <c r="C61" s="28"/>
      <c r="D61" s="24"/>
      <c r="E61" s="24"/>
      <c r="F61" s="24"/>
      <c r="G61" s="24"/>
      <c r="H61" s="24"/>
      <c r="I61" s="24"/>
      <c r="J61" s="24"/>
      <c r="K61" s="24"/>
      <c r="L61" s="25"/>
    </row>
    <row r="62" spans="1:12" x14ac:dyDescent="0.3">
      <c r="A62" s="26"/>
      <c r="B62" s="27"/>
      <c r="C62" s="28"/>
      <c r="D62" s="24"/>
      <c r="E62" s="24"/>
      <c r="F62" s="24"/>
      <c r="G62" s="24"/>
      <c r="H62" s="24"/>
      <c r="I62" s="24"/>
      <c r="J62" s="24"/>
      <c r="K62" s="24"/>
      <c r="L62" s="25"/>
    </row>
    <row r="63" spans="1:12" x14ac:dyDescent="0.3">
      <c r="A63" s="26"/>
      <c r="B63" s="27"/>
      <c r="C63" s="28"/>
      <c r="D63" s="24"/>
      <c r="E63" s="24"/>
      <c r="F63" s="24"/>
      <c r="G63" s="24"/>
      <c r="H63" s="24"/>
      <c r="I63" s="24"/>
      <c r="J63" s="24"/>
      <c r="K63" s="24"/>
      <c r="L63" s="25"/>
    </row>
    <row r="64" spans="1:12" x14ac:dyDescent="0.3">
      <c r="A64" s="26"/>
      <c r="B64" s="27"/>
      <c r="C64" s="28"/>
      <c r="D64" s="24"/>
      <c r="E64" s="24"/>
      <c r="F64" s="24"/>
      <c r="G64" s="24"/>
      <c r="H64" s="24"/>
      <c r="I64" s="24"/>
      <c r="J64" s="24"/>
      <c r="K64" s="24"/>
      <c r="L64" s="25"/>
    </row>
    <row r="65" spans="1:14" x14ac:dyDescent="0.3">
      <c r="A65" s="26"/>
      <c r="B65" s="27"/>
      <c r="C65" s="28"/>
      <c r="D65" s="24"/>
      <c r="E65" s="24"/>
      <c r="F65" s="24"/>
      <c r="G65" s="24"/>
      <c r="H65" s="24"/>
      <c r="I65" s="24"/>
      <c r="J65" s="24"/>
      <c r="K65" s="24"/>
      <c r="L65" s="25"/>
    </row>
    <row r="66" spans="1:14" x14ac:dyDescent="0.3">
      <c r="A66" s="426"/>
      <c r="B66" s="426"/>
      <c r="E66" s="24"/>
      <c r="F66" s="24"/>
      <c r="G66" s="24"/>
      <c r="H66" s="24"/>
      <c r="I66" s="24"/>
      <c r="J66" s="24"/>
      <c r="K66" s="24"/>
      <c r="L66" s="25"/>
    </row>
    <row r="67" spans="1:14" x14ac:dyDescent="0.3">
      <c r="A67" s="426"/>
      <c r="B67" s="426"/>
      <c r="E67" s="24"/>
      <c r="F67" s="24"/>
      <c r="G67" s="84"/>
      <c r="H67" s="24"/>
      <c r="I67" s="24"/>
      <c r="J67" s="24"/>
      <c r="K67" s="24"/>
      <c r="L67" s="25"/>
      <c r="N67" s="80"/>
    </row>
    <row r="68" spans="1:14" x14ac:dyDescent="0.3">
      <c r="A68" s="426"/>
      <c r="B68" s="426"/>
      <c r="E68" s="24"/>
      <c r="F68" s="24"/>
      <c r="G68" s="84"/>
      <c r="H68" s="24"/>
      <c r="I68" s="24"/>
      <c r="J68" s="24"/>
      <c r="K68" s="24"/>
      <c r="L68" s="25"/>
    </row>
    <row r="69" spans="1:14" ht="18" x14ac:dyDescent="0.35">
      <c r="A69" s="26"/>
      <c r="B69" s="53" t="s">
        <v>57</v>
      </c>
      <c r="C69" s="83">
        <f>SROI!C144</f>
        <v>2862833.6784584387</v>
      </c>
      <c r="D69" s="24"/>
      <c r="E69" s="24"/>
      <c r="F69" s="24"/>
      <c r="G69" s="24"/>
      <c r="H69" s="24"/>
      <c r="I69" s="24"/>
      <c r="J69" s="24"/>
      <c r="K69" s="24"/>
      <c r="L69" s="25"/>
    </row>
    <row r="70" spans="1:14" ht="18" x14ac:dyDescent="0.35">
      <c r="A70" s="26"/>
      <c r="B70" s="53" t="s">
        <v>58</v>
      </c>
      <c r="C70" s="83">
        <f>SROI!C149</f>
        <v>22669896.162917472</v>
      </c>
      <c r="D70" s="24"/>
      <c r="E70" s="24"/>
      <c r="F70" s="24"/>
      <c r="G70" s="24"/>
      <c r="H70" s="24"/>
      <c r="I70" s="24"/>
      <c r="J70" s="24"/>
      <c r="K70" s="24"/>
      <c r="L70" s="25"/>
    </row>
    <row r="71" spans="1:14" ht="18" x14ac:dyDescent="0.35">
      <c r="A71" s="26"/>
      <c r="B71" s="53" t="s">
        <v>59</v>
      </c>
      <c r="C71" s="83">
        <f>SROI!C153</f>
        <v>19807062.484459035</v>
      </c>
      <c r="D71" s="24"/>
      <c r="E71" s="24"/>
      <c r="F71" s="24"/>
      <c r="G71" s="24"/>
      <c r="H71" s="24"/>
      <c r="I71" s="24"/>
      <c r="J71" s="24"/>
      <c r="K71" s="24"/>
      <c r="L71" s="25"/>
    </row>
    <row r="72" spans="1:14" x14ac:dyDescent="0.3">
      <c r="A72" s="26"/>
      <c r="D72" s="24"/>
      <c r="E72" s="24"/>
      <c r="F72" s="24"/>
      <c r="G72" s="24"/>
      <c r="H72" s="24"/>
      <c r="I72" s="24"/>
      <c r="J72" s="24"/>
      <c r="K72" s="24"/>
      <c r="L72" s="25"/>
    </row>
    <row r="73" spans="1:14" x14ac:dyDescent="0.3">
      <c r="A73" s="26"/>
      <c r="B73" s="27"/>
      <c r="C73" s="28"/>
      <c r="D73" s="24"/>
      <c r="E73" s="24"/>
      <c r="F73" s="24"/>
      <c r="G73" s="24"/>
      <c r="H73" s="24"/>
      <c r="I73" s="24"/>
      <c r="J73" s="24"/>
      <c r="K73" s="24"/>
      <c r="L73" s="25"/>
    </row>
    <row r="74" spans="1:14" x14ac:dyDescent="0.3">
      <c r="A74" s="26"/>
      <c r="B74" s="27"/>
      <c r="C74" s="28"/>
      <c r="D74" s="24"/>
      <c r="E74" s="24"/>
      <c r="F74" s="24"/>
      <c r="G74" s="24"/>
      <c r="H74" s="24"/>
      <c r="I74" s="24"/>
      <c r="J74" s="24"/>
      <c r="K74" s="24"/>
      <c r="L74" s="25"/>
    </row>
    <row r="75" spans="1:14" x14ac:dyDescent="0.3">
      <c r="A75" s="26"/>
      <c r="B75" s="27"/>
      <c r="C75" s="28"/>
      <c r="D75" s="24"/>
      <c r="E75" s="24"/>
      <c r="F75" s="24"/>
      <c r="G75" s="24"/>
      <c r="H75" s="24"/>
      <c r="I75" s="24"/>
      <c r="J75" s="24"/>
      <c r="K75" s="24"/>
      <c r="L75" s="25"/>
    </row>
    <row r="76" spans="1:14" x14ac:dyDescent="0.3">
      <c r="A76" s="26"/>
      <c r="B76" s="27"/>
      <c r="C76" s="28"/>
      <c r="D76" s="24"/>
      <c r="E76" s="24"/>
      <c r="F76" s="24"/>
      <c r="G76" s="24"/>
      <c r="H76" s="24"/>
      <c r="I76" s="24"/>
      <c r="J76" s="24"/>
      <c r="K76" s="24"/>
      <c r="L76" s="25"/>
    </row>
    <row r="77" spans="1:14" x14ac:dyDescent="0.3">
      <c r="A77" s="26"/>
      <c r="B77" s="27"/>
      <c r="C77" s="28"/>
      <c r="D77" s="24"/>
      <c r="E77" s="24"/>
      <c r="F77" s="24"/>
      <c r="G77" s="24"/>
      <c r="H77" s="24"/>
      <c r="I77" s="24"/>
      <c r="J77" s="24"/>
      <c r="K77" s="24"/>
      <c r="L77" s="25"/>
    </row>
    <row r="78" spans="1:14" x14ac:dyDescent="0.3">
      <c r="A78" s="26"/>
      <c r="B78" s="27"/>
      <c r="C78" s="28"/>
      <c r="D78" s="24"/>
      <c r="E78" s="24"/>
      <c r="F78" s="24"/>
      <c r="G78" s="24"/>
      <c r="H78" s="24"/>
      <c r="I78" s="24"/>
      <c r="J78" s="24"/>
      <c r="K78" s="24"/>
      <c r="L78" s="25"/>
    </row>
    <row r="79" spans="1:14" x14ac:dyDescent="0.3">
      <c r="A79" s="26"/>
      <c r="B79" s="27"/>
      <c r="C79" s="28"/>
      <c r="D79" s="24"/>
      <c r="E79" s="24"/>
      <c r="F79" s="24"/>
      <c r="G79" s="24"/>
      <c r="H79" s="24"/>
      <c r="I79" s="24"/>
      <c r="J79" s="24"/>
      <c r="K79" s="24"/>
      <c r="L79" s="25"/>
    </row>
    <row r="80" spans="1:14" x14ac:dyDescent="0.3">
      <c r="A80" s="26"/>
      <c r="B80" s="27"/>
      <c r="C80" s="28"/>
      <c r="D80" s="24"/>
      <c r="E80" s="24"/>
      <c r="F80" s="24"/>
      <c r="G80" s="24"/>
      <c r="H80" s="24"/>
      <c r="I80" s="24"/>
      <c r="J80" s="24"/>
      <c r="K80" s="24"/>
      <c r="L80" s="25"/>
    </row>
    <row r="81" spans="1:12" x14ac:dyDescent="0.3">
      <c r="A81" s="26"/>
      <c r="B81" s="27"/>
      <c r="C81" s="28"/>
      <c r="D81" s="24"/>
      <c r="E81" s="24"/>
      <c r="F81" s="24"/>
      <c r="G81" s="24"/>
      <c r="H81" s="24"/>
      <c r="I81" s="24"/>
      <c r="J81" s="24"/>
      <c r="K81" s="24"/>
      <c r="L81" s="25"/>
    </row>
    <row r="82" spans="1:12" x14ac:dyDescent="0.3">
      <c r="A82" s="54"/>
      <c r="B82" s="55"/>
      <c r="C82" s="56"/>
      <c r="D82" s="57"/>
      <c r="E82" s="57"/>
      <c r="F82" s="57"/>
      <c r="G82" s="57"/>
      <c r="H82" s="57"/>
      <c r="I82" s="57"/>
      <c r="J82" s="57"/>
      <c r="K82" s="57"/>
      <c r="L82" s="58"/>
    </row>
  </sheetData>
  <mergeCells count="5">
    <mergeCell ref="C2:D2"/>
    <mergeCell ref="C41:E41"/>
    <mergeCell ref="C42:E42"/>
    <mergeCell ref="A66:A68"/>
    <mergeCell ref="B66:B68"/>
  </mergeCells>
  <phoneticPr fontId="28" type="noConversion"/>
  <conditionalFormatting sqref="C23:C24">
    <cfRule type="cellIs" dxfId="43" priority="8" operator="equal">
      <formula>"High"</formula>
    </cfRule>
    <cfRule type="cellIs" dxfId="42" priority="9" operator="equal">
      <formula>"Medium"</formula>
    </cfRule>
    <cfRule type="cellIs" dxfId="41" priority="10" operator="equal">
      <formula>"Low"</formula>
    </cfRule>
  </conditionalFormatting>
  <conditionalFormatting sqref="C26:C28">
    <cfRule type="cellIs" dxfId="40" priority="1" operator="equal">
      <formula>"High"</formula>
    </cfRule>
    <cfRule type="cellIs" dxfId="39" priority="2" operator="equal">
      <formula>"Medium"</formula>
    </cfRule>
    <cfRule type="cellIs" dxfId="38" priority="3" operator="equal">
      <formula>"Low"</formula>
    </cfRule>
  </conditionalFormatting>
  <conditionalFormatting sqref="C37">
    <cfRule type="cellIs" dxfId="37" priority="5" operator="equal">
      <formula>"Excellent"</formula>
    </cfRule>
    <cfRule type="cellIs" dxfId="36" priority="6" operator="equal">
      <formula>"Good"</formula>
    </cfRule>
    <cfRule type="cellIs" dxfId="35" priority="7" operator="equal">
      <formula>"Fair"</formula>
    </cfRule>
  </conditionalFormatting>
  <dataValidations count="3">
    <dataValidation type="list" allowBlank="1" showInputMessage="1" showErrorMessage="1" sqref="C23" xr:uid="{BF15226C-1C64-4539-90D7-C0B022D5151D}">
      <formula1>"Low, Medium, High"</formula1>
    </dataValidation>
    <dataValidation type="list" allowBlank="1" showInputMessage="1" showErrorMessage="1" sqref="C37" xr:uid="{F09229AF-A40E-4C42-A5AA-5D2E66C8F6D8}">
      <formula1>"Fair, Good, Excellent"</formula1>
    </dataValidation>
    <dataValidation type="list" allowBlank="1" showInputMessage="1" showErrorMessage="1" sqref="C22" xr:uid="{6BF1CF9B-B675-49F1-955C-ADCE987D0DFD}">
      <formula1>"Forecast, Evaluative"</formula1>
    </dataValidation>
  </dataValidations>
  <hyperlinks>
    <hyperlink ref="C7" r:id="rId1" xr:uid="{B5EB4EF7-70F1-4AFA-9DF4-37D89EB08952}"/>
    <hyperlink ref="C8" r:id="rId2" xr:uid="{60D41579-2797-4150-907A-C7AAE4745F8A}"/>
  </hyperlinks>
  <pageMargins left="0.7" right="0.7" top="0.75" bottom="0.75" header="0.3" footer="0.3"/>
  <pageSetup paperSize="9" orientation="portrait" horizontalDpi="1200" verticalDpi="1200"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A3DCB-C1B8-4725-805B-CD5B6FD34C12}">
  <dimension ref="A1:Y87"/>
  <sheetViews>
    <sheetView showGridLines="0" zoomScaleNormal="100" workbookViewId="0">
      <selection activeCell="I97" sqref="I97"/>
    </sheetView>
  </sheetViews>
  <sheetFormatPr defaultColWidth="8.5546875" defaultRowHeight="14.4" x14ac:dyDescent="0.3"/>
  <cols>
    <col min="1" max="1" width="3.77734375" customWidth="1"/>
  </cols>
  <sheetData>
    <row r="1" spans="1:25" ht="18" x14ac:dyDescent="0.35">
      <c r="A1" s="98"/>
      <c r="B1" s="99" t="s">
        <v>60</v>
      </c>
      <c r="C1" s="100"/>
      <c r="D1" s="100"/>
      <c r="E1" s="100"/>
      <c r="F1" s="100"/>
      <c r="G1" s="100"/>
      <c r="H1" s="100"/>
      <c r="I1" s="100"/>
      <c r="J1" s="100"/>
      <c r="K1" s="100"/>
      <c r="L1" s="100"/>
      <c r="M1" s="100"/>
      <c r="N1" s="100"/>
      <c r="O1" s="100"/>
      <c r="P1" s="100"/>
      <c r="Q1" s="100"/>
      <c r="R1" s="100"/>
      <c r="S1" s="100"/>
      <c r="T1" s="100"/>
      <c r="U1" s="100"/>
      <c r="V1" s="100"/>
      <c r="W1" s="100"/>
      <c r="X1" s="100"/>
      <c r="Y1" s="101"/>
    </row>
    <row r="2" spans="1:25" x14ac:dyDescent="0.3">
      <c r="Y2" s="10"/>
    </row>
    <row r="3" spans="1:25" x14ac:dyDescent="0.3">
      <c r="Y3" s="10"/>
    </row>
    <row r="4" spans="1:25" x14ac:dyDescent="0.3">
      <c r="Y4" s="10"/>
    </row>
    <row r="5" spans="1:25" x14ac:dyDescent="0.3">
      <c r="Y5" s="10"/>
    </row>
    <row r="6" spans="1:25" x14ac:dyDescent="0.3">
      <c r="Y6" s="10"/>
    </row>
    <row r="7" spans="1:25" x14ac:dyDescent="0.3">
      <c r="Y7" s="10"/>
    </row>
    <row r="8" spans="1:25" x14ac:dyDescent="0.3">
      <c r="Y8" s="10"/>
    </row>
    <row r="9" spans="1:25" x14ac:dyDescent="0.3">
      <c r="Y9" s="10"/>
    </row>
    <row r="10" spans="1:25" x14ac:dyDescent="0.3">
      <c r="Y10" s="10"/>
    </row>
    <row r="11" spans="1:25" x14ac:dyDescent="0.3">
      <c r="Y11" s="10"/>
    </row>
    <row r="12" spans="1:25" x14ac:dyDescent="0.3">
      <c r="Y12" s="10"/>
    </row>
    <row r="13" spans="1:25" x14ac:dyDescent="0.3">
      <c r="Y13" s="10"/>
    </row>
    <row r="14" spans="1:25" x14ac:dyDescent="0.3">
      <c r="Y14" s="10"/>
    </row>
    <row r="15" spans="1:25" x14ac:dyDescent="0.3">
      <c r="Y15" s="10"/>
    </row>
    <row r="16" spans="1:25" x14ac:dyDescent="0.3">
      <c r="Y16" s="10"/>
    </row>
    <row r="17" spans="25:25" x14ac:dyDescent="0.3">
      <c r="Y17" s="10"/>
    </row>
    <row r="18" spans="25:25" x14ac:dyDescent="0.3">
      <c r="Y18" s="10"/>
    </row>
    <row r="19" spans="25:25" x14ac:dyDescent="0.3">
      <c r="Y19" s="10"/>
    </row>
    <row r="20" spans="25:25" x14ac:dyDescent="0.3">
      <c r="Y20" s="10"/>
    </row>
    <row r="21" spans="25:25" x14ac:dyDescent="0.3">
      <c r="Y21" s="10"/>
    </row>
    <row r="22" spans="25:25" x14ac:dyDescent="0.3">
      <c r="Y22" s="10"/>
    </row>
    <row r="23" spans="25:25" x14ac:dyDescent="0.3">
      <c r="Y23" s="10"/>
    </row>
    <row r="24" spans="25:25" x14ac:dyDescent="0.3">
      <c r="Y24" s="10"/>
    </row>
    <row r="25" spans="25:25" x14ac:dyDescent="0.3">
      <c r="Y25" s="10"/>
    </row>
    <row r="26" spans="25:25" x14ac:dyDescent="0.3">
      <c r="Y26" s="10"/>
    </row>
    <row r="27" spans="25:25" x14ac:dyDescent="0.3">
      <c r="Y27" s="10"/>
    </row>
    <row r="28" spans="25:25" x14ac:dyDescent="0.3">
      <c r="Y28" s="10"/>
    </row>
    <row r="29" spans="25:25" x14ac:dyDescent="0.3">
      <c r="Y29" s="10"/>
    </row>
    <row r="30" spans="25:25" x14ac:dyDescent="0.3">
      <c r="Y30" s="10"/>
    </row>
    <row r="31" spans="25:25" x14ac:dyDescent="0.3">
      <c r="Y31" s="10"/>
    </row>
    <row r="32" spans="25:25" x14ac:dyDescent="0.3">
      <c r="Y32" s="10"/>
    </row>
    <row r="33" spans="1:25" x14ac:dyDescent="0.3">
      <c r="Y33" s="10"/>
    </row>
    <row r="34" spans="1:25" x14ac:dyDescent="0.3">
      <c r="Y34" s="10"/>
    </row>
    <row r="35" spans="1:25" x14ac:dyDescent="0.3">
      <c r="Y35" s="10"/>
    </row>
    <row r="36" spans="1:25" x14ac:dyDescent="0.3">
      <c r="Y36" s="10"/>
    </row>
    <row r="37" spans="1:25" x14ac:dyDescent="0.3">
      <c r="Y37" s="10"/>
    </row>
    <row r="38" spans="1:25" x14ac:dyDescent="0.3">
      <c r="Y38" s="10"/>
    </row>
    <row r="39" spans="1:25" x14ac:dyDescent="0.3">
      <c r="Y39" s="10"/>
    </row>
    <row r="40" spans="1:25" x14ac:dyDescent="0.3">
      <c r="Y40" s="10"/>
    </row>
    <row r="41" spans="1:25" x14ac:dyDescent="0.3">
      <c r="Y41" s="10"/>
    </row>
    <row r="42" spans="1:25" x14ac:dyDescent="0.3">
      <c r="Y42" s="10"/>
    </row>
    <row r="43" spans="1:25" x14ac:dyDescent="0.3">
      <c r="Y43" s="10"/>
    </row>
    <row r="44" spans="1:25" x14ac:dyDescent="0.3">
      <c r="Y44" s="10"/>
    </row>
    <row r="45" spans="1:25" x14ac:dyDescent="0.3">
      <c r="Y45" s="10"/>
    </row>
    <row r="46" spans="1:25" ht="18" x14ac:dyDescent="0.35">
      <c r="A46" s="11"/>
      <c r="B46" s="102" t="s">
        <v>61</v>
      </c>
      <c r="C46" s="6"/>
      <c r="D46" s="6"/>
      <c r="E46" s="6"/>
      <c r="F46" s="6"/>
      <c r="G46" s="6"/>
      <c r="H46" s="6"/>
      <c r="I46" s="6"/>
      <c r="J46" s="6"/>
      <c r="K46" s="6"/>
      <c r="L46" s="6"/>
      <c r="M46" s="6"/>
      <c r="N46" s="6"/>
      <c r="O46" s="6"/>
      <c r="P46" s="6"/>
      <c r="Q46" s="6"/>
      <c r="R46" s="6"/>
      <c r="S46" s="6"/>
      <c r="T46" s="6"/>
      <c r="U46" s="6"/>
      <c r="V46" s="6"/>
      <c r="W46" s="6"/>
      <c r="X46" s="6"/>
      <c r="Y46" s="12"/>
    </row>
    <row r="47" spans="1:25" x14ac:dyDescent="0.3">
      <c r="Y47" s="10"/>
    </row>
    <row r="48" spans="1:25" x14ac:dyDescent="0.3">
      <c r="Y48" s="10"/>
    </row>
    <row r="49" spans="25:25" x14ac:dyDescent="0.3">
      <c r="Y49" s="10"/>
    </row>
    <row r="50" spans="25:25" x14ac:dyDescent="0.3">
      <c r="Y50" s="10"/>
    </row>
    <row r="51" spans="25:25" x14ac:dyDescent="0.3">
      <c r="Y51" s="10"/>
    </row>
    <row r="52" spans="25:25" x14ac:dyDescent="0.3">
      <c r="Y52" s="10"/>
    </row>
    <row r="53" spans="25:25" x14ac:dyDescent="0.3">
      <c r="Y53" s="10"/>
    </row>
    <row r="54" spans="25:25" x14ac:dyDescent="0.3">
      <c r="Y54" s="10"/>
    </row>
    <row r="55" spans="25:25" x14ac:dyDescent="0.3">
      <c r="Y55" s="10"/>
    </row>
    <row r="56" spans="25:25" x14ac:dyDescent="0.3">
      <c r="Y56" s="10"/>
    </row>
    <row r="57" spans="25:25" x14ac:dyDescent="0.3">
      <c r="Y57" s="10"/>
    </row>
    <row r="58" spans="25:25" x14ac:dyDescent="0.3">
      <c r="Y58" s="10"/>
    </row>
    <row r="59" spans="25:25" x14ac:dyDescent="0.3">
      <c r="Y59" s="10"/>
    </row>
    <row r="60" spans="25:25" x14ac:dyDescent="0.3">
      <c r="Y60" s="10"/>
    </row>
    <row r="61" spans="25:25" x14ac:dyDescent="0.3">
      <c r="Y61" s="10"/>
    </row>
    <row r="62" spans="25:25" x14ac:dyDescent="0.3">
      <c r="Y62" s="10"/>
    </row>
    <row r="63" spans="25:25" x14ac:dyDescent="0.3">
      <c r="Y63" s="10"/>
    </row>
    <row r="64" spans="25:25" x14ac:dyDescent="0.3">
      <c r="Y64" s="10"/>
    </row>
    <row r="65" spans="25:25" x14ac:dyDescent="0.3">
      <c r="Y65" s="10"/>
    </row>
    <row r="66" spans="25:25" x14ac:dyDescent="0.3">
      <c r="Y66" s="10"/>
    </row>
    <row r="67" spans="25:25" x14ac:dyDescent="0.3">
      <c r="Y67" s="10"/>
    </row>
    <row r="68" spans="25:25" x14ac:dyDescent="0.3">
      <c r="Y68" s="10"/>
    </row>
    <row r="69" spans="25:25" x14ac:dyDescent="0.3">
      <c r="Y69" s="10"/>
    </row>
    <row r="70" spans="25:25" x14ac:dyDescent="0.3">
      <c r="Y70" s="10"/>
    </row>
    <row r="71" spans="25:25" x14ac:dyDescent="0.3">
      <c r="Y71" s="10"/>
    </row>
    <row r="72" spans="25:25" x14ac:dyDescent="0.3">
      <c r="Y72" s="10"/>
    </row>
    <row r="73" spans="25:25" x14ac:dyDescent="0.3">
      <c r="Y73" s="10"/>
    </row>
    <row r="74" spans="25:25" x14ac:dyDescent="0.3">
      <c r="Y74" s="10"/>
    </row>
    <row r="75" spans="25:25" x14ac:dyDescent="0.3">
      <c r="Y75" s="10"/>
    </row>
    <row r="76" spans="25:25" x14ac:dyDescent="0.3">
      <c r="Y76" s="10"/>
    </row>
    <row r="77" spans="25:25" x14ac:dyDescent="0.3">
      <c r="Y77" s="10"/>
    </row>
    <row r="78" spans="25:25" x14ac:dyDescent="0.3">
      <c r="Y78" s="10"/>
    </row>
    <row r="79" spans="25:25" x14ac:dyDescent="0.3">
      <c r="Y79" s="10"/>
    </row>
    <row r="80" spans="25:25" x14ac:dyDescent="0.3">
      <c r="Y80" s="10"/>
    </row>
    <row r="81" spans="1:25" x14ac:dyDescent="0.3">
      <c r="Y81" s="10"/>
    </row>
    <row r="82" spans="1:25" x14ac:dyDescent="0.3">
      <c r="Y82" s="10"/>
    </row>
    <row r="83" spans="1:25" x14ac:dyDescent="0.3">
      <c r="Y83" s="10"/>
    </row>
    <row r="84" spans="1:25" x14ac:dyDescent="0.3">
      <c r="Y84" s="10"/>
    </row>
    <row r="85" spans="1:25" x14ac:dyDescent="0.3">
      <c r="Y85" s="10"/>
    </row>
    <row r="86" spans="1:25" x14ac:dyDescent="0.3">
      <c r="Y86" s="10"/>
    </row>
    <row r="87" spans="1:25" x14ac:dyDescent="0.3">
      <c r="A87" s="60"/>
      <c r="B87" s="60"/>
      <c r="C87" s="60"/>
      <c r="D87" s="60"/>
      <c r="E87" s="60"/>
      <c r="F87" s="60"/>
      <c r="G87" s="60"/>
      <c r="H87" s="60"/>
      <c r="I87" s="60"/>
      <c r="J87" s="60"/>
      <c r="K87" s="60"/>
      <c r="L87" s="60"/>
      <c r="M87" s="60"/>
      <c r="N87" s="60"/>
      <c r="O87" s="60"/>
      <c r="P87" s="60"/>
      <c r="Q87" s="60"/>
      <c r="R87" s="60"/>
      <c r="S87" s="60"/>
      <c r="T87" s="60"/>
      <c r="U87" s="60"/>
      <c r="V87" s="60"/>
      <c r="W87" s="60"/>
      <c r="X87" s="60"/>
      <c r="Y87" s="61"/>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310D1-479A-4906-B65A-984E14A9DF30}">
  <dimension ref="A1:W113"/>
  <sheetViews>
    <sheetView showGridLines="0" topLeftCell="A12" zoomScaleNormal="100" workbookViewId="0">
      <selection activeCell="B30" sqref="B30"/>
    </sheetView>
  </sheetViews>
  <sheetFormatPr defaultColWidth="8.5546875" defaultRowHeight="14.4" x14ac:dyDescent="0.3"/>
  <cols>
    <col min="1" max="1" width="3.21875" customWidth="1"/>
    <col min="2" max="2" width="73.77734375" customWidth="1"/>
    <col min="3" max="3" width="15.21875" customWidth="1"/>
    <col min="4" max="4" width="39.44140625" customWidth="1"/>
    <col min="5" max="5" width="25.21875" customWidth="1"/>
    <col min="6" max="6" width="14.77734375" customWidth="1"/>
    <col min="7" max="7" width="13.21875" customWidth="1"/>
    <col min="8" max="8" width="47.5546875" customWidth="1"/>
    <col min="9" max="9" width="13.21875" customWidth="1"/>
    <col min="10" max="10" width="26.5546875" customWidth="1"/>
    <col min="11" max="11" width="22.21875" customWidth="1"/>
    <col min="12" max="20" width="13.21875" customWidth="1"/>
    <col min="21" max="21" width="25.77734375" customWidth="1"/>
  </cols>
  <sheetData>
    <row r="1" spans="1:21" ht="6.6" customHeight="1" x14ac:dyDescent="0.3"/>
    <row r="2" spans="1:21" s="7" customFormat="1" ht="19.95" customHeight="1" x14ac:dyDescent="0.35">
      <c r="A2" s="151"/>
      <c r="B2" s="102" t="s">
        <v>62</v>
      </c>
      <c r="C2" s="235"/>
      <c r="D2" s="235"/>
      <c r="E2" s="235"/>
      <c r="F2" s="235"/>
      <c r="G2" s="235"/>
      <c r="H2" s="235"/>
      <c r="I2" s="235"/>
      <c r="J2" s="235"/>
      <c r="K2" s="235"/>
      <c r="L2" s="235"/>
      <c r="M2" s="235"/>
      <c r="N2" s="235"/>
      <c r="O2" s="235"/>
      <c r="P2" s="235"/>
      <c r="Q2" s="235"/>
      <c r="R2" s="236"/>
      <c r="S2" s="236"/>
      <c r="T2" s="236"/>
      <c r="U2" s="237"/>
    </row>
    <row r="3" spans="1:21" ht="15" thickBot="1" x14ac:dyDescent="0.35">
      <c r="A3" s="238"/>
      <c r="B3" s="238"/>
      <c r="C3" s="238"/>
      <c r="D3" s="238"/>
      <c r="E3" s="238"/>
      <c r="F3" s="238"/>
      <c r="G3" s="238"/>
      <c r="H3" s="238"/>
      <c r="I3" s="238"/>
      <c r="J3" s="238"/>
      <c r="K3" s="238"/>
      <c r="L3" s="238"/>
      <c r="M3" s="238"/>
      <c r="N3" s="238"/>
      <c r="O3" s="238"/>
      <c r="P3" s="238"/>
      <c r="Q3" s="238"/>
      <c r="R3" s="238"/>
      <c r="S3" s="238"/>
      <c r="T3" s="238"/>
      <c r="U3" s="239"/>
    </row>
    <row r="4" spans="1:21" x14ac:dyDescent="0.3">
      <c r="A4" s="238"/>
      <c r="B4" s="94" t="s">
        <v>63</v>
      </c>
      <c r="C4" s="103" t="s">
        <v>64</v>
      </c>
      <c r="D4" s="238"/>
      <c r="E4" s="431" t="s">
        <v>65</v>
      </c>
      <c r="F4" s="431"/>
      <c r="G4" s="431"/>
      <c r="H4" s="431"/>
      <c r="I4" s="431"/>
      <c r="J4" s="431"/>
      <c r="K4" s="238"/>
      <c r="L4" s="238"/>
      <c r="M4" s="238"/>
      <c r="N4" s="238"/>
      <c r="O4" s="238"/>
      <c r="P4" s="238"/>
      <c r="Q4" s="238"/>
      <c r="R4" s="238"/>
      <c r="S4" s="238"/>
      <c r="T4" s="238"/>
      <c r="U4" s="239"/>
    </row>
    <row r="5" spans="1:21" x14ac:dyDescent="0.3">
      <c r="A5" s="238"/>
      <c r="B5" s="95" t="s">
        <v>66</v>
      </c>
      <c r="C5" s="104">
        <v>2024</v>
      </c>
      <c r="D5" s="238"/>
      <c r="E5" s="432" t="s">
        <v>67</v>
      </c>
      <c r="F5" s="432"/>
      <c r="G5" s="432"/>
      <c r="H5" s="432"/>
      <c r="I5" s="432"/>
      <c r="J5" s="432"/>
      <c r="K5" s="238"/>
      <c r="L5" s="238"/>
      <c r="M5" s="238"/>
      <c r="N5" s="238"/>
      <c r="O5" s="238"/>
      <c r="P5" s="238"/>
      <c r="Q5" s="238"/>
      <c r="R5" s="238"/>
      <c r="S5" s="238"/>
      <c r="T5" s="238"/>
      <c r="U5" s="239"/>
    </row>
    <row r="6" spans="1:21" x14ac:dyDescent="0.3">
      <c r="A6" s="238"/>
      <c r="B6" s="95" t="s">
        <v>68</v>
      </c>
      <c r="C6" s="104">
        <v>2021</v>
      </c>
      <c r="D6" s="238"/>
      <c r="E6" s="433" t="s">
        <v>69</v>
      </c>
      <c r="F6" s="433"/>
      <c r="G6" s="433"/>
      <c r="H6" s="433"/>
      <c r="I6" s="433"/>
      <c r="J6" s="433"/>
      <c r="K6" s="238"/>
      <c r="L6" s="238"/>
      <c r="M6" s="238"/>
      <c r="N6" s="238"/>
      <c r="O6" s="238"/>
      <c r="P6" s="238"/>
      <c r="Q6" s="238"/>
      <c r="R6" s="238"/>
      <c r="S6" s="238"/>
      <c r="T6" s="238"/>
      <c r="U6" s="239"/>
    </row>
    <row r="7" spans="1:21" ht="15" thickBot="1" x14ac:dyDescent="0.35">
      <c r="A7" s="238"/>
      <c r="B7" s="96" t="s">
        <v>70</v>
      </c>
      <c r="C7" s="105" t="s">
        <v>71</v>
      </c>
      <c r="D7" s="238"/>
      <c r="E7" s="238"/>
      <c r="F7" s="238"/>
      <c r="G7" s="238"/>
      <c r="H7" s="238"/>
      <c r="I7" s="238"/>
      <c r="J7" s="238"/>
      <c r="K7" s="238"/>
      <c r="L7" s="238"/>
      <c r="M7" s="238"/>
      <c r="N7" s="238"/>
      <c r="O7" s="238"/>
      <c r="P7" s="238"/>
      <c r="Q7" s="238"/>
      <c r="R7" s="238"/>
      <c r="S7" s="238"/>
      <c r="T7" s="238"/>
      <c r="U7" s="239"/>
    </row>
    <row r="8" spans="1:21" x14ac:dyDescent="0.3">
      <c r="A8" s="238"/>
      <c r="B8" s="238"/>
      <c r="C8" s="238"/>
      <c r="D8" s="238"/>
      <c r="E8" s="238"/>
      <c r="F8" s="238"/>
      <c r="G8" s="238"/>
      <c r="H8" s="238"/>
      <c r="I8" s="238"/>
      <c r="J8" s="238"/>
      <c r="K8" s="238"/>
      <c r="L8" s="238"/>
      <c r="M8" s="238"/>
      <c r="N8" s="238"/>
      <c r="O8" s="238"/>
      <c r="P8" s="238"/>
      <c r="Q8" s="238"/>
      <c r="R8" s="238"/>
      <c r="S8" s="238"/>
      <c r="T8" s="238"/>
      <c r="U8" s="239"/>
    </row>
    <row r="9" spans="1:21" ht="19.95" customHeight="1" x14ac:dyDescent="0.35">
      <c r="B9" s="102" t="s">
        <v>72</v>
      </c>
      <c r="C9" s="235"/>
      <c r="D9" s="235"/>
      <c r="E9" s="235"/>
      <c r="F9" s="235"/>
      <c r="G9" s="235"/>
      <c r="H9" s="235"/>
      <c r="I9" s="235"/>
      <c r="J9" s="235"/>
      <c r="K9" s="235"/>
      <c r="L9" s="235"/>
      <c r="M9" s="235"/>
      <c r="N9" s="235"/>
      <c r="O9" s="235"/>
      <c r="P9" s="235"/>
      <c r="Q9" s="235"/>
      <c r="R9" s="236"/>
      <c r="S9" s="236"/>
      <c r="T9" s="236"/>
      <c r="U9" s="237"/>
    </row>
    <row r="10" spans="1:21" ht="17.25" customHeight="1" x14ac:dyDescent="0.3">
      <c r="A10" s="240"/>
      <c r="B10" s="241"/>
      <c r="C10" s="240"/>
      <c r="D10" s="242"/>
      <c r="E10" s="238"/>
      <c r="F10" s="238"/>
      <c r="G10" s="238"/>
      <c r="H10" s="238"/>
      <c r="I10" s="238"/>
      <c r="J10" s="238"/>
      <c r="K10" s="238"/>
      <c r="L10" s="238"/>
      <c r="M10" s="238"/>
      <c r="N10" s="238"/>
      <c r="O10" s="238"/>
      <c r="P10" s="238"/>
      <c r="Q10" s="238"/>
      <c r="R10" s="238"/>
      <c r="S10" s="238"/>
      <c r="T10" s="238"/>
      <c r="U10" s="239"/>
    </row>
    <row r="11" spans="1:21" ht="17.25" customHeight="1" x14ac:dyDescent="0.3">
      <c r="A11" s="240"/>
      <c r="B11" s="106" t="s">
        <v>73</v>
      </c>
      <c r="C11" s="106" t="s">
        <v>74</v>
      </c>
      <c r="D11" s="242"/>
      <c r="E11" s="238"/>
      <c r="F11" s="238"/>
      <c r="G11" s="238"/>
      <c r="H11" s="238"/>
      <c r="I11" s="238"/>
      <c r="J11" s="238"/>
      <c r="K11" s="238"/>
      <c r="L11" s="238"/>
      <c r="M11" s="238"/>
      <c r="N11" s="238"/>
      <c r="O11" s="238"/>
      <c r="P11" s="238"/>
      <c r="Q11" s="238"/>
      <c r="R11" s="238"/>
      <c r="S11" s="238"/>
      <c r="T11" s="238"/>
      <c r="U11" s="239"/>
    </row>
    <row r="12" spans="1:21" x14ac:dyDescent="0.3">
      <c r="A12" s="238"/>
      <c r="B12" s="107" t="s">
        <v>75</v>
      </c>
      <c r="C12" s="108">
        <f>'Sensitivity analysis'!C5</f>
        <v>0.1</v>
      </c>
      <c r="D12" s="238"/>
      <c r="E12" s="238"/>
      <c r="F12" s="238"/>
      <c r="G12" s="238"/>
      <c r="H12" s="238"/>
      <c r="I12" s="238"/>
      <c r="J12" s="238"/>
      <c r="K12" s="238"/>
      <c r="L12" s="238"/>
      <c r="M12" s="238"/>
      <c r="N12" s="238"/>
      <c r="O12" s="238"/>
      <c r="P12" s="238"/>
      <c r="Q12" s="238"/>
      <c r="R12" s="238"/>
      <c r="S12" s="238"/>
      <c r="T12" s="238"/>
      <c r="U12" s="239"/>
    </row>
    <row r="13" spans="1:21" x14ac:dyDescent="0.3">
      <c r="A13" s="238"/>
      <c r="B13" s="109"/>
      <c r="C13" s="109"/>
      <c r="D13" s="238"/>
      <c r="E13" s="238"/>
      <c r="F13" s="238"/>
      <c r="G13" s="238"/>
      <c r="H13" s="238"/>
      <c r="I13" s="238"/>
      <c r="J13" s="238"/>
      <c r="K13" s="238"/>
      <c r="L13" s="238"/>
      <c r="M13" s="238"/>
      <c r="N13" s="238"/>
      <c r="O13" s="238"/>
      <c r="P13" s="238"/>
      <c r="Q13" s="238"/>
      <c r="R13" s="238"/>
      <c r="S13" s="238"/>
      <c r="T13" s="238"/>
      <c r="U13" s="239"/>
    </row>
    <row r="14" spans="1:21" x14ac:dyDescent="0.3">
      <c r="A14" s="238"/>
      <c r="B14" s="150" t="s">
        <v>76</v>
      </c>
      <c r="C14" s="238"/>
      <c r="D14" s="238"/>
      <c r="E14" s="238"/>
      <c r="F14" s="238"/>
      <c r="G14" s="238"/>
      <c r="H14" s="238"/>
      <c r="I14" s="238"/>
      <c r="J14" s="238"/>
      <c r="K14" s="238"/>
      <c r="L14" s="238"/>
      <c r="M14" s="238"/>
      <c r="N14" s="238"/>
      <c r="O14" s="238"/>
      <c r="P14" s="238"/>
      <c r="Q14" s="238"/>
      <c r="R14" s="238"/>
      <c r="S14" s="238"/>
      <c r="T14" s="238"/>
      <c r="U14" s="239"/>
    </row>
    <row r="15" spans="1:21" x14ac:dyDescent="0.3">
      <c r="A15" s="238"/>
      <c r="B15" s="150"/>
      <c r="C15" s="238"/>
      <c r="D15" s="238"/>
      <c r="E15" s="238"/>
      <c r="F15" s="238"/>
      <c r="G15" s="238"/>
      <c r="H15" s="238"/>
      <c r="I15" s="238"/>
      <c r="J15" s="238"/>
      <c r="K15" s="238"/>
      <c r="L15" s="238"/>
      <c r="M15" s="238"/>
      <c r="N15" s="238"/>
      <c r="O15" s="238"/>
      <c r="P15" s="238"/>
      <c r="Q15" s="238"/>
      <c r="R15" s="238"/>
      <c r="S15" s="238"/>
      <c r="T15" s="238"/>
      <c r="U15" s="239"/>
    </row>
    <row r="16" spans="1:21" x14ac:dyDescent="0.3">
      <c r="A16" s="238"/>
      <c r="B16" s="429" t="s">
        <v>77</v>
      </c>
      <c r="C16" s="430"/>
      <c r="D16" s="430"/>
      <c r="E16" s="430"/>
      <c r="F16" s="238"/>
      <c r="G16" s="238"/>
      <c r="H16" s="152" t="s">
        <v>78</v>
      </c>
      <c r="I16" s="238"/>
      <c r="J16" s="238"/>
      <c r="K16" s="238"/>
      <c r="L16" s="238"/>
      <c r="M16" s="238"/>
      <c r="N16" s="238"/>
      <c r="O16" s="238"/>
      <c r="P16" s="238"/>
      <c r="Q16" s="238"/>
      <c r="R16" s="238"/>
      <c r="S16" s="238"/>
      <c r="T16" s="238"/>
      <c r="U16" s="239"/>
    </row>
    <row r="17" spans="1:21" x14ac:dyDescent="0.3">
      <c r="A17" s="238"/>
      <c r="B17" s="106" t="s">
        <v>79</v>
      </c>
      <c r="C17" s="106" t="s">
        <v>74</v>
      </c>
      <c r="D17" s="106" t="s">
        <v>80</v>
      </c>
      <c r="E17" s="106" t="s">
        <v>81</v>
      </c>
      <c r="G17" s="238"/>
      <c r="H17" s="106" t="s">
        <v>79</v>
      </c>
      <c r="I17" s="106" t="s">
        <v>74</v>
      </c>
      <c r="J17" s="106" t="s">
        <v>80</v>
      </c>
      <c r="K17" s="106" t="s">
        <v>81</v>
      </c>
      <c r="M17" s="238"/>
      <c r="N17" s="238"/>
      <c r="O17" s="238"/>
      <c r="P17" s="238"/>
      <c r="Q17" s="238"/>
      <c r="R17" s="238"/>
      <c r="S17" s="238"/>
      <c r="T17" s="238"/>
      <c r="U17" s="239"/>
    </row>
    <row r="18" spans="1:21" x14ac:dyDescent="0.3">
      <c r="A18" s="238"/>
      <c r="B18" s="107" t="s">
        <v>82</v>
      </c>
      <c r="C18" s="113">
        <v>0.65</v>
      </c>
      <c r="D18" s="110" t="s">
        <v>83</v>
      </c>
      <c r="E18" s="124"/>
      <c r="G18" s="238"/>
      <c r="H18" s="107" t="s">
        <v>84</v>
      </c>
      <c r="I18" s="113">
        <f>1/2.471</f>
        <v>0.40469445568595708</v>
      </c>
      <c r="J18" s="107" t="s">
        <v>85</v>
      </c>
      <c r="K18" s="107"/>
      <c r="L18" s="109"/>
      <c r="M18" s="238"/>
      <c r="N18" s="238"/>
      <c r="O18" s="238"/>
      <c r="P18" s="238"/>
      <c r="Q18" s="238"/>
      <c r="R18" s="238"/>
      <c r="S18" s="238"/>
      <c r="T18" s="238"/>
      <c r="U18" s="239"/>
    </row>
    <row r="19" spans="1:21" x14ac:dyDescent="0.3">
      <c r="A19" s="238"/>
      <c r="B19" s="107" t="s">
        <v>86</v>
      </c>
      <c r="C19" s="114">
        <f>265*2.471</f>
        <v>654.81500000000005</v>
      </c>
      <c r="D19" s="110" t="s">
        <v>87</v>
      </c>
      <c r="E19" s="110" t="s">
        <v>88</v>
      </c>
      <c r="G19" s="238"/>
      <c r="H19" s="107" t="s">
        <v>86</v>
      </c>
      <c r="I19" s="114">
        <f>140*2.471</f>
        <v>345.94</v>
      </c>
      <c r="J19" s="107"/>
      <c r="K19" s="107"/>
      <c r="L19" s="109"/>
      <c r="M19" s="238"/>
      <c r="N19" s="238"/>
      <c r="O19" s="238"/>
      <c r="P19" s="238"/>
      <c r="Q19" s="238"/>
      <c r="R19" s="238"/>
      <c r="S19" s="238"/>
      <c r="T19" s="238"/>
      <c r="U19" s="239"/>
    </row>
    <row r="20" spans="1:21" x14ac:dyDescent="0.3">
      <c r="A20" s="238"/>
      <c r="B20" s="107" t="s">
        <v>89</v>
      </c>
      <c r="C20" s="114">
        <f>0.9/0.4</f>
        <v>2.25</v>
      </c>
      <c r="D20" s="111" t="s">
        <v>90</v>
      </c>
      <c r="E20" s="110" t="s">
        <v>91</v>
      </c>
      <c r="G20" s="238"/>
      <c r="H20" s="107" t="s">
        <v>92</v>
      </c>
      <c r="I20" s="107"/>
      <c r="J20" s="107"/>
      <c r="K20" s="107"/>
      <c r="L20" s="109"/>
      <c r="M20" s="238"/>
      <c r="N20" s="238"/>
      <c r="O20" s="238"/>
      <c r="P20" s="238"/>
      <c r="Q20" s="238"/>
      <c r="R20" s="238"/>
      <c r="S20" s="238"/>
      <c r="T20" s="238"/>
      <c r="U20" s="239"/>
    </row>
    <row r="21" spans="1:21" x14ac:dyDescent="0.3">
      <c r="A21" s="238"/>
      <c r="B21" s="107" t="s">
        <v>93</v>
      </c>
      <c r="C21" s="115">
        <f>C20*0.65</f>
        <v>1.4625000000000001</v>
      </c>
      <c r="D21" s="110" t="s">
        <v>94</v>
      </c>
      <c r="E21" s="110" t="s">
        <v>95</v>
      </c>
      <c r="G21" s="238"/>
      <c r="H21" s="107"/>
      <c r="I21" s="107"/>
      <c r="J21" s="107"/>
      <c r="K21" s="107"/>
      <c r="L21" s="109"/>
      <c r="M21" s="238"/>
      <c r="N21" s="238"/>
      <c r="O21" s="238"/>
      <c r="P21" s="238"/>
      <c r="Q21" s="238"/>
      <c r="R21" s="238"/>
      <c r="S21" s="238"/>
      <c r="T21" s="238"/>
      <c r="U21" s="239"/>
    </row>
    <row r="22" spans="1:21" x14ac:dyDescent="0.3">
      <c r="A22" s="238"/>
      <c r="B22" s="107" t="s">
        <v>96</v>
      </c>
      <c r="C22" s="135">
        <f>(C20+C21)*C19*C18</f>
        <v>1580.1504468750004</v>
      </c>
      <c r="D22" s="110"/>
      <c r="E22" s="110"/>
      <c r="G22" s="238"/>
      <c r="H22" s="107" t="s">
        <v>96</v>
      </c>
      <c r="I22" s="135">
        <f>(C20+C21)*I19*I18</f>
        <v>519.75</v>
      </c>
      <c r="J22" s="107"/>
      <c r="K22" s="107"/>
      <c r="L22" s="109"/>
      <c r="M22" s="238"/>
      <c r="N22" s="238"/>
      <c r="O22" s="238"/>
      <c r="P22" s="238"/>
      <c r="Q22" s="238"/>
      <c r="R22" s="238"/>
      <c r="S22" s="238"/>
      <c r="T22" s="238"/>
      <c r="U22" s="239"/>
    </row>
    <row r="23" spans="1:21" x14ac:dyDescent="0.3">
      <c r="A23" s="238"/>
      <c r="B23" s="107" t="s">
        <v>97</v>
      </c>
      <c r="C23" s="114">
        <f>46/('Model input'!G$94/'Model input'!$F$94)</f>
        <v>43.599305276089211</v>
      </c>
      <c r="D23" s="110" t="s">
        <v>98</v>
      </c>
      <c r="E23" s="110" t="s">
        <v>99</v>
      </c>
      <c r="G23" s="238"/>
      <c r="H23" s="124" t="s">
        <v>100</v>
      </c>
      <c r="I23" s="244"/>
      <c r="J23" s="245"/>
      <c r="K23" s="118"/>
      <c r="L23" s="238"/>
      <c r="M23" s="238"/>
      <c r="N23" s="238"/>
      <c r="O23" s="238"/>
      <c r="P23" s="238"/>
      <c r="Q23" s="238"/>
      <c r="R23" s="238"/>
      <c r="S23" s="238"/>
      <c r="T23" s="238"/>
      <c r="U23" s="239"/>
    </row>
    <row r="24" spans="1:21" x14ac:dyDescent="0.3">
      <c r="A24" s="238"/>
      <c r="B24" s="107" t="s">
        <v>101</v>
      </c>
      <c r="C24" s="114">
        <f>130488/('Model input'!G$94/'Model input'!$F$94)</f>
        <v>123677.95971448541</v>
      </c>
      <c r="D24" s="110" t="s">
        <v>94</v>
      </c>
      <c r="E24" s="110" t="s">
        <v>102</v>
      </c>
      <c r="G24" s="238"/>
      <c r="H24" s="238" t="s">
        <v>100</v>
      </c>
      <c r="I24" s="246"/>
      <c r="J24" s="247"/>
      <c r="K24" s="85"/>
      <c r="L24" s="238"/>
      <c r="M24" s="238"/>
      <c r="N24" s="238"/>
      <c r="O24" s="238"/>
      <c r="P24" s="238"/>
      <c r="Q24" s="238"/>
      <c r="R24" s="238"/>
      <c r="S24" s="238"/>
      <c r="T24" s="238"/>
      <c r="U24" s="239"/>
    </row>
    <row r="25" spans="1:21" x14ac:dyDescent="0.3">
      <c r="A25" s="238"/>
      <c r="B25" s="107" t="s">
        <v>103</v>
      </c>
      <c r="C25" s="108">
        <v>0.04</v>
      </c>
      <c r="D25" s="110" t="s">
        <v>104</v>
      </c>
      <c r="E25" s="110"/>
      <c r="G25" s="238"/>
      <c r="H25" s="238"/>
      <c r="I25" s="246"/>
      <c r="J25" s="247"/>
      <c r="K25" s="85"/>
      <c r="L25" s="238"/>
      <c r="M25" s="238"/>
      <c r="N25" s="238"/>
      <c r="O25" s="238"/>
      <c r="P25" s="238"/>
      <c r="Q25" s="238"/>
      <c r="R25" s="238"/>
      <c r="S25" s="238"/>
      <c r="T25" s="238"/>
      <c r="U25" s="239"/>
    </row>
    <row r="26" spans="1:21" x14ac:dyDescent="0.3">
      <c r="A26" s="238"/>
      <c r="B26" s="107" t="s">
        <v>105</v>
      </c>
      <c r="C26" s="116">
        <f>'Sensitivity analysis'!C9</f>
        <v>0.4</v>
      </c>
      <c r="D26" s="110" t="s">
        <v>106</v>
      </c>
      <c r="E26" s="110" t="s">
        <v>278</v>
      </c>
      <c r="G26" s="238"/>
      <c r="H26" s="238"/>
      <c r="I26" s="248"/>
      <c r="J26" s="247"/>
      <c r="K26" s="85"/>
      <c r="L26" s="238"/>
      <c r="M26" s="238"/>
      <c r="N26" s="238"/>
      <c r="O26" s="238"/>
      <c r="P26" s="238"/>
      <c r="Q26" s="238"/>
      <c r="R26" s="238"/>
      <c r="S26" s="238"/>
      <c r="T26" s="238"/>
      <c r="U26" s="239"/>
    </row>
    <row r="27" spans="1:21" x14ac:dyDescent="0.3">
      <c r="A27" s="238"/>
      <c r="B27" s="107" t="s">
        <v>107</v>
      </c>
      <c r="C27" s="116">
        <f>'Sensitivity analysis'!C11</f>
        <v>0.05</v>
      </c>
      <c r="D27" s="110" t="s">
        <v>106</v>
      </c>
      <c r="E27" s="110"/>
      <c r="G27" s="238"/>
      <c r="H27" s="238"/>
      <c r="I27" s="248"/>
      <c r="J27" s="247"/>
      <c r="K27" s="85"/>
      <c r="L27" s="238"/>
      <c r="M27" s="238"/>
      <c r="N27" s="238"/>
      <c r="O27" s="238"/>
      <c r="P27" s="238"/>
      <c r="Q27" s="238"/>
      <c r="R27" s="238"/>
      <c r="S27" s="238"/>
      <c r="T27" s="238"/>
      <c r="U27" s="239"/>
    </row>
    <row r="28" spans="1:21" x14ac:dyDescent="0.3">
      <c r="A28" s="238"/>
      <c r="B28" s="107" t="s">
        <v>108</v>
      </c>
      <c r="C28" s="116">
        <v>0.2</v>
      </c>
      <c r="D28" s="110" t="s">
        <v>106</v>
      </c>
      <c r="E28" s="110" t="s">
        <v>109</v>
      </c>
      <c r="G28" s="238"/>
      <c r="H28" s="238"/>
      <c r="I28" s="248"/>
      <c r="J28" s="247"/>
      <c r="K28" s="85"/>
      <c r="L28" s="238"/>
      <c r="M28" s="238"/>
      <c r="N28" s="238"/>
      <c r="O28" s="238"/>
      <c r="P28" s="238"/>
      <c r="Q28" s="238"/>
      <c r="R28" s="238"/>
      <c r="S28" s="238"/>
      <c r="T28" s="238"/>
      <c r="U28" s="239"/>
    </row>
    <row r="29" spans="1:21" x14ac:dyDescent="0.3">
      <c r="A29" s="238"/>
      <c r="B29" s="107" t="s">
        <v>110</v>
      </c>
      <c r="C29" s="117">
        <f>'Sensitivity analysis'!C10</f>
        <v>0.05</v>
      </c>
      <c r="D29" s="110" t="s">
        <v>111</v>
      </c>
      <c r="E29" s="110" t="s">
        <v>295</v>
      </c>
      <c r="G29" s="238"/>
      <c r="H29" s="238"/>
      <c r="I29" s="248"/>
      <c r="J29" s="247"/>
      <c r="K29" s="85"/>
      <c r="L29" s="238"/>
      <c r="M29" s="238"/>
      <c r="N29" s="238"/>
      <c r="O29" s="238"/>
      <c r="P29" s="238"/>
      <c r="Q29" s="238"/>
      <c r="R29" s="238"/>
      <c r="S29" s="238"/>
      <c r="T29" s="238"/>
      <c r="U29" s="239"/>
    </row>
    <row r="30" spans="1:21" x14ac:dyDescent="0.3">
      <c r="A30" s="238"/>
      <c r="B30" s="107" t="s">
        <v>112</v>
      </c>
      <c r="C30" s="114">
        <v>6764419</v>
      </c>
      <c r="D30" s="112" t="s">
        <v>113</v>
      </c>
      <c r="E30" s="249" t="s">
        <v>114</v>
      </c>
      <c r="G30" s="238"/>
      <c r="H30" s="238"/>
      <c r="I30" s="248"/>
      <c r="J30" s="247"/>
      <c r="K30" s="85"/>
      <c r="L30" s="238"/>
      <c r="M30" s="238"/>
      <c r="N30" s="238"/>
      <c r="O30" s="238"/>
      <c r="P30" s="238"/>
      <c r="Q30" s="238"/>
      <c r="R30" s="238"/>
      <c r="S30" s="238"/>
      <c r="T30" s="238"/>
      <c r="U30" s="239"/>
    </row>
    <row r="31" spans="1:21" x14ac:dyDescent="0.3">
      <c r="A31" s="238"/>
      <c r="B31" s="238" t="s">
        <v>115</v>
      </c>
      <c r="C31" s="250"/>
      <c r="D31" s="247"/>
      <c r="E31" s="247"/>
      <c r="G31" s="238"/>
      <c r="H31" s="238"/>
      <c r="I31" s="251"/>
      <c r="J31" s="247"/>
      <c r="K31" s="85"/>
      <c r="L31" s="238"/>
      <c r="M31" s="238"/>
      <c r="N31" s="238"/>
      <c r="O31" s="238"/>
      <c r="P31" s="238"/>
      <c r="Q31" s="238"/>
      <c r="R31" s="238"/>
      <c r="S31" s="238"/>
      <c r="T31" s="238"/>
      <c r="U31" s="239"/>
    </row>
    <row r="32" spans="1:21" x14ac:dyDescent="0.3">
      <c r="A32" s="238"/>
      <c r="B32" s="238"/>
      <c r="C32" s="238"/>
      <c r="D32" s="238"/>
      <c r="E32" s="238"/>
      <c r="F32" s="238"/>
      <c r="G32" s="238"/>
      <c r="H32" s="238"/>
      <c r="I32" s="238"/>
      <c r="J32" s="238"/>
      <c r="K32" s="238"/>
      <c r="L32" s="238"/>
      <c r="M32" s="238"/>
      <c r="N32" s="238"/>
      <c r="O32" s="238"/>
      <c r="P32" s="238"/>
      <c r="Q32" s="238"/>
      <c r="R32" s="238"/>
      <c r="S32" s="238"/>
      <c r="T32" s="238"/>
      <c r="U32" s="239"/>
    </row>
    <row r="33" spans="1:21" x14ac:dyDescent="0.3">
      <c r="A33" s="238"/>
      <c r="B33" s="152" t="s">
        <v>116</v>
      </c>
      <c r="C33" s="238"/>
      <c r="D33" s="238"/>
      <c r="E33" s="238"/>
      <c r="F33" s="238"/>
      <c r="G33" s="238"/>
      <c r="H33" s="152" t="s">
        <v>294</v>
      </c>
      <c r="I33" s="238"/>
      <c r="J33" s="238"/>
      <c r="K33" s="238"/>
      <c r="L33" s="238"/>
      <c r="M33" s="238"/>
      <c r="N33" s="238"/>
      <c r="O33" s="238"/>
      <c r="P33" s="238"/>
      <c r="Q33" s="238"/>
      <c r="R33" s="238"/>
      <c r="S33" s="238"/>
      <c r="T33" s="238"/>
      <c r="U33" s="239"/>
    </row>
    <row r="34" spans="1:21" x14ac:dyDescent="0.3">
      <c r="A34" s="238"/>
      <c r="B34" s="106" t="s">
        <v>79</v>
      </c>
      <c r="C34" s="106" t="s">
        <v>74</v>
      </c>
      <c r="D34" s="106" t="s">
        <v>80</v>
      </c>
      <c r="E34" s="106" t="s">
        <v>81</v>
      </c>
      <c r="G34" s="238"/>
      <c r="H34" s="106" t="s">
        <v>79</v>
      </c>
      <c r="I34" s="106" t="s">
        <v>74</v>
      </c>
      <c r="J34" s="106" t="s">
        <v>80</v>
      </c>
      <c r="K34" s="106" t="s">
        <v>81</v>
      </c>
      <c r="M34" s="238"/>
      <c r="N34" s="238"/>
      <c r="O34" s="238"/>
      <c r="P34" s="238"/>
      <c r="Q34" s="238"/>
      <c r="R34" s="238"/>
      <c r="S34" s="238"/>
      <c r="T34" s="238"/>
      <c r="U34" s="239"/>
    </row>
    <row r="35" spans="1:21" x14ac:dyDescent="0.3">
      <c r="A35" s="238"/>
      <c r="B35" s="107" t="s">
        <v>117</v>
      </c>
      <c r="C35" s="119">
        <v>0.16</v>
      </c>
      <c r="D35" s="110" t="s">
        <v>118</v>
      </c>
      <c r="E35" s="110"/>
      <c r="G35" s="238"/>
      <c r="H35" s="107" t="s">
        <v>117</v>
      </c>
      <c r="I35" s="119">
        <f>0.5/2.4107</f>
        <v>0.20740863649562369</v>
      </c>
      <c r="J35" s="110" t="s">
        <v>119</v>
      </c>
      <c r="K35" s="110"/>
      <c r="M35" s="238"/>
      <c r="N35" s="238"/>
      <c r="O35" s="238"/>
      <c r="P35" s="238"/>
      <c r="Q35" s="238"/>
      <c r="R35" s="238"/>
      <c r="S35" s="238"/>
      <c r="T35" s="238"/>
      <c r="U35" s="239"/>
    </row>
    <row r="36" spans="1:21" x14ac:dyDescent="0.3">
      <c r="A36" s="238"/>
      <c r="B36" s="107" t="s">
        <v>120</v>
      </c>
      <c r="C36" s="114">
        <f>200*2.47105*2</f>
        <v>988.42</v>
      </c>
      <c r="D36" s="110" t="s">
        <v>118</v>
      </c>
      <c r="E36" s="110" t="s">
        <v>121</v>
      </c>
      <c r="G36" s="238"/>
      <c r="H36" s="238"/>
      <c r="I36" s="238"/>
      <c r="J36" s="238"/>
      <c r="K36" s="238"/>
      <c r="L36" s="238"/>
      <c r="M36" s="238"/>
      <c r="N36" s="238"/>
      <c r="O36" s="238"/>
      <c r="P36" s="238"/>
      <c r="Q36" s="238"/>
      <c r="R36" s="238"/>
      <c r="S36" s="238"/>
      <c r="T36" s="238"/>
      <c r="U36" s="239"/>
    </row>
    <row r="37" spans="1:21" x14ac:dyDescent="0.3">
      <c r="A37" s="238"/>
      <c r="B37" s="107" t="s">
        <v>122</v>
      </c>
      <c r="C37" s="114">
        <f>1037.68/('Model input'!G$94/'Model input'!$F$94)/'Model input'!E100</f>
        <v>3693295.1639122474</v>
      </c>
      <c r="D37" s="110" t="s">
        <v>118</v>
      </c>
      <c r="E37" s="110"/>
      <c r="G37" s="238"/>
      <c r="H37" s="238"/>
      <c r="I37" s="238"/>
      <c r="J37" s="238"/>
      <c r="K37" s="238"/>
      <c r="L37" s="238"/>
      <c r="M37" s="238"/>
      <c r="N37" s="238"/>
      <c r="O37" s="238"/>
      <c r="P37" s="238"/>
      <c r="Q37" s="238"/>
      <c r="R37" s="238"/>
      <c r="S37" s="238"/>
      <c r="T37" s="238"/>
      <c r="U37" s="239"/>
    </row>
    <row r="38" spans="1:21" x14ac:dyDescent="0.3">
      <c r="A38" s="238"/>
      <c r="B38" s="107" t="s">
        <v>123</v>
      </c>
      <c r="C38" s="120">
        <v>3500</v>
      </c>
      <c r="D38" s="110" t="s">
        <v>118</v>
      </c>
      <c r="E38" s="110"/>
      <c r="G38" s="238"/>
      <c r="H38" s="238"/>
      <c r="I38" s="153"/>
      <c r="J38" s="247"/>
      <c r="K38" s="238"/>
      <c r="L38" s="238"/>
      <c r="M38" s="238"/>
      <c r="N38" s="238"/>
      <c r="O38" s="238"/>
      <c r="P38" s="238"/>
      <c r="Q38" s="238"/>
      <c r="R38" s="238"/>
      <c r="S38" s="238"/>
      <c r="T38" s="238"/>
      <c r="U38" s="239"/>
    </row>
    <row r="39" spans="1:21" x14ac:dyDescent="0.3">
      <c r="A39" s="238"/>
      <c r="B39" s="107" t="s">
        <v>124</v>
      </c>
      <c r="C39" s="113">
        <f>2.47105/C35</f>
        <v>15.444062499999999</v>
      </c>
      <c r="D39" s="110" t="s">
        <v>118</v>
      </c>
      <c r="E39" s="110" t="s">
        <v>125</v>
      </c>
      <c r="G39" s="238"/>
      <c r="H39" s="252"/>
      <c r="I39" s="253"/>
      <c r="J39" s="243"/>
      <c r="K39" s="238"/>
      <c r="L39" s="238"/>
      <c r="M39" s="238"/>
      <c r="N39" s="238"/>
      <c r="O39" s="238"/>
      <c r="P39" s="238"/>
      <c r="Q39" s="238"/>
      <c r="R39" s="238"/>
      <c r="S39" s="238"/>
      <c r="T39" s="238"/>
      <c r="U39" s="239"/>
    </row>
    <row r="40" spans="1:21" x14ac:dyDescent="0.3">
      <c r="A40" s="238"/>
      <c r="B40" s="107" t="s">
        <v>126</v>
      </c>
      <c r="C40" s="114">
        <f>436.55/('Model input'!G94/'Model input'!F94)/'Model input'!E100</f>
        <v>1553762.2425081835</v>
      </c>
      <c r="D40" s="110" t="s">
        <v>127</v>
      </c>
      <c r="E40" s="110"/>
      <c r="G40" s="238"/>
      <c r="H40" s="252"/>
      <c r="I40" s="253"/>
      <c r="J40" s="243"/>
      <c r="K40" s="238"/>
      <c r="L40" s="238"/>
      <c r="M40" s="238"/>
      <c r="N40" s="238"/>
      <c r="O40" s="238"/>
      <c r="P40" s="238"/>
      <c r="Q40" s="238"/>
      <c r="R40" s="238"/>
      <c r="S40" s="238"/>
      <c r="T40" s="238"/>
      <c r="U40" s="239"/>
    </row>
    <row r="41" spans="1:21" x14ac:dyDescent="0.3">
      <c r="A41" s="238"/>
      <c r="B41" s="107" t="s">
        <v>128</v>
      </c>
      <c r="C41" s="121">
        <v>0.1</v>
      </c>
      <c r="D41" s="123" t="s">
        <v>106</v>
      </c>
      <c r="E41" s="123" t="s">
        <v>129</v>
      </c>
      <c r="G41" s="238"/>
      <c r="H41" s="247"/>
      <c r="I41" s="253"/>
      <c r="J41" s="243"/>
      <c r="K41" s="238"/>
      <c r="L41" s="238"/>
      <c r="M41" s="238"/>
      <c r="N41" s="238"/>
      <c r="O41" s="238"/>
      <c r="P41" s="238"/>
      <c r="Q41" s="238"/>
      <c r="R41" s="238"/>
      <c r="S41" s="238"/>
      <c r="T41" s="238"/>
      <c r="U41" s="239"/>
    </row>
    <row r="42" spans="1:21" x14ac:dyDescent="0.3">
      <c r="A42" s="238"/>
      <c r="B42" s="107" t="s">
        <v>130</v>
      </c>
      <c r="C42" s="122">
        <f>589.24/('Model input'!G94/'Model input'!F94)/'Model input'!E100</f>
        <v>2097214.2109163254</v>
      </c>
      <c r="D42" s="110" t="s">
        <v>127</v>
      </c>
      <c r="E42" s="123" t="s">
        <v>131</v>
      </c>
      <c r="G42" s="238"/>
      <c r="H42" s="247"/>
      <c r="I42" s="253"/>
      <c r="J42" s="243"/>
      <c r="K42" s="238"/>
      <c r="L42" s="238"/>
      <c r="M42" s="238"/>
      <c r="N42" s="238"/>
      <c r="O42" s="238"/>
      <c r="P42" s="238"/>
      <c r="Q42" s="238"/>
      <c r="R42" s="238"/>
      <c r="S42" s="238"/>
      <c r="T42" s="238"/>
      <c r="U42" s="239"/>
    </row>
    <row r="43" spans="1:21" x14ac:dyDescent="0.3">
      <c r="A43" s="238"/>
      <c r="B43" s="238"/>
      <c r="C43" s="238"/>
      <c r="D43" s="238"/>
      <c r="E43" s="238"/>
      <c r="F43" s="238"/>
      <c r="G43" s="238"/>
      <c r="H43" s="238"/>
      <c r="I43" s="238"/>
      <c r="J43" s="238"/>
      <c r="K43" s="238"/>
      <c r="L43" s="238"/>
      <c r="M43" s="238"/>
      <c r="N43" s="238"/>
      <c r="O43" s="238"/>
      <c r="P43" s="238"/>
      <c r="Q43" s="238"/>
      <c r="R43" s="238"/>
      <c r="S43" s="238"/>
      <c r="T43" s="238"/>
      <c r="U43" s="239"/>
    </row>
    <row r="44" spans="1:21" x14ac:dyDescent="0.3">
      <c r="A44" s="238"/>
      <c r="B44" s="152" t="s">
        <v>55</v>
      </c>
      <c r="C44" s="254"/>
      <c r="D44" s="255"/>
      <c r="E44" s="85"/>
      <c r="F44" s="255"/>
      <c r="G44" s="238"/>
      <c r="H44" s="247"/>
      <c r="I44" s="253"/>
      <c r="J44" s="243"/>
      <c r="K44" s="238"/>
      <c r="L44" s="238"/>
      <c r="M44" s="238"/>
      <c r="N44" s="238"/>
      <c r="O44" s="238"/>
      <c r="P44" s="238"/>
      <c r="Q44" s="238"/>
      <c r="R44" s="238"/>
      <c r="S44" s="238"/>
      <c r="T44" s="238"/>
      <c r="U44" s="239"/>
    </row>
    <row r="45" spans="1:21" x14ac:dyDescent="0.3">
      <c r="A45" s="238"/>
      <c r="B45" s="106" t="s">
        <v>79</v>
      </c>
      <c r="C45" s="106" t="s">
        <v>74</v>
      </c>
      <c r="D45" s="106" t="s">
        <v>80</v>
      </c>
      <c r="E45" s="106" t="s">
        <v>81</v>
      </c>
      <c r="G45" s="238"/>
      <c r="H45" s="247"/>
      <c r="I45" s="253"/>
      <c r="J45" s="243"/>
      <c r="K45" s="238"/>
      <c r="L45" s="238"/>
      <c r="M45" s="238"/>
      <c r="N45" s="238"/>
      <c r="O45" s="238"/>
      <c r="P45" s="238"/>
      <c r="Q45" s="238"/>
      <c r="R45" s="238"/>
      <c r="S45" s="238"/>
      <c r="T45" s="238"/>
      <c r="U45" s="239"/>
    </row>
    <row r="46" spans="1:21" x14ac:dyDescent="0.3">
      <c r="A46" s="238"/>
      <c r="B46" s="107" t="s">
        <v>132</v>
      </c>
      <c r="C46" s="113">
        <v>3.5</v>
      </c>
      <c r="D46" s="123" t="s">
        <v>133</v>
      </c>
      <c r="E46" s="123" t="s">
        <v>134</v>
      </c>
      <c r="G46" s="238"/>
      <c r="H46" s="247"/>
      <c r="I46" s="253"/>
      <c r="J46" s="243"/>
      <c r="K46" s="238"/>
      <c r="L46" s="238"/>
      <c r="M46" s="238"/>
      <c r="N46" s="238"/>
      <c r="O46" s="238"/>
      <c r="P46" s="238"/>
      <c r="Q46" s="238"/>
      <c r="R46" s="238"/>
      <c r="S46" s="238"/>
      <c r="T46" s="238"/>
      <c r="U46" s="239"/>
    </row>
    <row r="47" spans="1:21" x14ac:dyDescent="0.3">
      <c r="A47" s="238"/>
      <c r="B47" s="107" t="s">
        <v>147</v>
      </c>
      <c r="C47" s="116">
        <f>'Sensitivity analysis'!C12</f>
        <v>0.35</v>
      </c>
      <c r="D47" s="245" t="s">
        <v>106</v>
      </c>
      <c r="E47" s="245" t="s">
        <v>135</v>
      </c>
      <c r="G47" s="238"/>
      <c r="H47" s="247"/>
      <c r="I47" s="253"/>
      <c r="J47" s="243"/>
      <c r="K47" s="238"/>
      <c r="L47" s="238"/>
      <c r="M47" s="238"/>
      <c r="N47" s="238"/>
      <c r="O47" s="238"/>
      <c r="P47" s="238"/>
      <c r="Q47" s="238"/>
      <c r="R47" s="238"/>
      <c r="S47" s="238"/>
      <c r="T47" s="238"/>
      <c r="U47" s="239"/>
    </row>
    <row r="48" spans="1:21" x14ac:dyDescent="0.3">
      <c r="A48" s="238"/>
      <c r="B48" s="107" t="s">
        <v>136</v>
      </c>
      <c r="C48" s="116">
        <v>0.1</v>
      </c>
      <c r="D48" s="123" t="s">
        <v>106</v>
      </c>
      <c r="E48" s="123" t="s">
        <v>137</v>
      </c>
      <c r="G48" s="256"/>
      <c r="H48" s="247"/>
      <c r="I48" s="253"/>
      <c r="J48" s="243"/>
      <c r="K48" s="238"/>
      <c r="L48" s="238"/>
      <c r="M48" s="238"/>
      <c r="N48" s="238"/>
      <c r="O48" s="238"/>
      <c r="P48" s="238"/>
      <c r="Q48" s="238"/>
      <c r="R48" s="238"/>
      <c r="S48" s="238"/>
      <c r="T48" s="238"/>
      <c r="U48" s="239"/>
    </row>
    <row r="49" spans="1:21" x14ac:dyDescent="0.3">
      <c r="A49" s="238"/>
      <c r="B49" s="107" t="s">
        <v>138</v>
      </c>
      <c r="C49" s="120">
        <v>10000</v>
      </c>
      <c r="D49" s="245" t="s">
        <v>139</v>
      </c>
      <c r="E49" s="245" t="s">
        <v>296</v>
      </c>
      <c r="G49" s="256"/>
      <c r="H49" s="247"/>
      <c r="I49" s="253"/>
      <c r="J49" s="243"/>
      <c r="K49" s="238"/>
      <c r="L49" s="238"/>
      <c r="M49" s="238"/>
      <c r="N49" s="238"/>
      <c r="O49" s="238"/>
      <c r="P49" s="238"/>
      <c r="Q49" s="238"/>
      <c r="R49" s="238"/>
      <c r="S49" s="238"/>
      <c r="T49" s="238"/>
      <c r="U49" s="239"/>
    </row>
    <row r="50" spans="1:21" x14ac:dyDescent="0.3">
      <c r="A50" s="238"/>
      <c r="B50" s="107" t="s">
        <v>140</v>
      </c>
      <c r="C50" s="120">
        <f>4600</f>
        <v>4600</v>
      </c>
      <c r="D50" s="123" t="s">
        <v>139</v>
      </c>
      <c r="E50" s="123" t="s">
        <v>141</v>
      </c>
      <c r="G50" s="256"/>
      <c r="H50" s="247"/>
      <c r="I50" s="253"/>
      <c r="J50" s="243"/>
      <c r="K50" s="238"/>
      <c r="L50" s="238"/>
      <c r="M50" s="238"/>
      <c r="N50" s="238"/>
      <c r="O50" s="238"/>
      <c r="P50" s="238"/>
      <c r="Q50" s="238"/>
      <c r="R50" s="238"/>
      <c r="S50" s="238"/>
      <c r="T50" s="238"/>
      <c r="U50" s="239"/>
    </row>
    <row r="51" spans="1:21" x14ac:dyDescent="0.3">
      <c r="A51" s="238"/>
      <c r="B51" s="107" t="s">
        <v>142</v>
      </c>
      <c r="C51" s="120">
        <v>2200</v>
      </c>
      <c r="D51" s="245" t="s">
        <v>139</v>
      </c>
      <c r="E51" s="245"/>
      <c r="G51" s="256"/>
      <c r="H51" s="257"/>
      <c r="I51" s="253"/>
      <c r="J51" s="243"/>
      <c r="K51" s="238"/>
      <c r="L51" s="238"/>
      <c r="M51" s="238"/>
      <c r="N51" s="238"/>
      <c r="O51" s="238"/>
      <c r="P51" s="238"/>
      <c r="Q51" s="238"/>
      <c r="R51" s="238"/>
      <c r="S51" s="238"/>
      <c r="T51" s="238"/>
      <c r="U51" s="239"/>
    </row>
    <row r="52" spans="1:21" x14ac:dyDescent="0.3">
      <c r="A52" s="238"/>
      <c r="B52" s="238"/>
      <c r="C52" s="238"/>
      <c r="D52" s="238"/>
      <c r="E52" s="238"/>
      <c r="F52" s="238"/>
      <c r="G52" s="238"/>
      <c r="H52" s="238"/>
      <c r="I52" s="238"/>
      <c r="J52" s="238"/>
      <c r="K52" s="238"/>
      <c r="L52" s="238"/>
      <c r="M52" s="238"/>
      <c r="N52" s="238"/>
      <c r="O52" s="238"/>
      <c r="P52" s="238"/>
      <c r="Q52" s="238"/>
      <c r="R52" s="238"/>
      <c r="S52" s="238"/>
      <c r="T52" s="238"/>
      <c r="U52" s="239"/>
    </row>
    <row r="53" spans="1:21" x14ac:dyDescent="0.3">
      <c r="A53" s="238"/>
      <c r="B53" s="152" t="s">
        <v>56</v>
      </c>
      <c r="C53" s="254"/>
      <c r="D53" s="255"/>
      <c r="E53" s="85"/>
      <c r="F53" s="255"/>
      <c r="G53" s="256"/>
      <c r="H53" s="257"/>
      <c r="I53" s="253"/>
      <c r="J53" s="243"/>
      <c r="K53" s="238"/>
      <c r="L53" s="238"/>
      <c r="M53" s="238"/>
      <c r="N53" s="238"/>
      <c r="O53" s="238"/>
      <c r="P53" s="238"/>
      <c r="Q53" s="238"/>
      <c r="R53" s="238"/>
      <c r="S53" s="238"/>
      <c r="T53" s="238"/>
      <c r="U53" s="239"/>
    </row>
    <row r="54" spans="1:21" x14ac:dyDescent="0.3">
      <c r="A54" s="238"/>
      <c r="B54" s="106" t="s">
        <v>79</v>
      </c>
      <c r="C54" s="106" t="s">
        <v>74</v>
      </c>
      <c r="D54" s="106" t="s">
        <v>80</v>
      </c>
      <c r="E54" s="106" t="s">
        <v>81</v>
      </c>
      <c r="G54" s="256"/>
      <c r="H54" s="257"/>
      <c r="I54" s="253"/>
      <c r="J54" s="243"/>
      <c r="K54" s="238"/>
      <c r="L54" s="238"/>
      <c r="M54" s="238"/>
      <c r="N54" s="238"/>
      <c r="O54" s="238"/>
      <c r="P54" s="238"/>
      <c r="Q54" s="238"/>
      <c r="R54" s="238"/>
      <c r="S54" s="238"/>
      <c r="T54" s="238"/>
      <c r="U54" s="239"/>
    </row>
    <row r="55" spans="1:21" x14ac:dyDescent="0.3">
      <c r="A55" s="238"/>
      <c r="B55" s="107" t="s">
        <v>143</v>
      </c>
      <c r="C55" s="114">
        <v>40</v>
      </c>
      <c r="D55" s="124" t="s">
        <v>144</v>
      </c>
      <c r="E55" s="123"/>
      <c r="G55" s="256"/>
      <c r="H55" s="257"/>
      <c r="I55" s="253"/>
      <c r="J55" s="243"/>
      <c r="K55" s="238"/>
      <c r="L55" s="238"/>
      <c r="M55" s="238"/>
      <c r="N55" s="238"/>
      <c r="O55" s="238"/>
      <c r="P55" s="238"/>
      <c r="Q55" s="238"/>
      <c r="R55" s="238"/>
      <c r="S55" s="238"/>
      <c r="T55" s="238"/>
      <c r="U55" s="239"/>
    </row>
    <row r="56" spans="1:21" x14ac:dyDescent="0.3">
      <c r="A56" s="238"/>
      <c r="B56" s="107" t="s">
        <v>145</v>
      </c>
      <c r="C56" s="116">
        <v>0.9</v>
      </c>
      <c r="D56" s="123" t="s">
        <v>146</v>
      </c>
      <c r="E56" s="123"/>
      <c r="G56" s="256"/>
      <c r="H56" s="257"/>
      <c r="I56" s="253"/>
      <c r="J56" s="243"/>
      <c r="K56" s="238"/>
      <c r="L56" s="238"/>
      <c r="M56" s="238"/>
      <c r="N56" s="238"/>
      <c r="O56" s="238"/>
      <c r="P56" s="238"/>
      <c r="Q56" s="238"/>
      <c r="R56" s="238"/>
      <c r="S56" s="238"/>
      <c r="T56" s="238"/>
      <c r="U56" s="239"/>
    </row>
    <row r="57" spans="1:21" x14ac:dyDescent="0.3">
      <c r="A57" s="238"/>
      <c r="B57" s="107" t="s">
        <v>147</v>
      </c>
      <c r="C57" s="116">
        <f>'Sensitivity analysis'!C13</f>
        <v>0.35</v>
      </c>
      <c r="D57" s="123" t="s">
        <v>106</v>
      </c>
      <c r="E57" s="110" t="s">
        <v>135</v>
      </c>
      <c r="G57" s="256"/>
      <c r="H57" s="257"/>
      <c r="I57" s="253"/>
      <c r="J57" s="243"/>
      <c r="K57" s="238"/>
      <c r="L57" s="238"/>
      <c r="M57" s="238"/>
      <c r="N57" s="238"/>
      <c r="O57" s="238"/>
      <c r="P57" s="238"/>
      <c r="Q57" s="238"/>
      <c r="R57" s="238"/>
      <c r="S57" s="238"/>
      <c r="T57" s="238"/>
      <c r="U57" s="239"/>
    </row>
    <row r="58" spans="1:21" x14ac:dyDescent="0.3">
      <c r="A58" s="238"/>
      <c r="B58" s="107" t="s">
        <v>148</v>
      </c>
      <c r="C58" s="120">
        <f>382/('Model input'!G94/'Model input'!F94)</f>
        <v>362.063795988393</v>
      </c>
      <c r="D58" s="123" t="s">
        <v>149</v>
      </c>
      <c r="E58" s="110"/>
      <c r="G58" s="256"/>
      <c r="H58" s="257"/>
      <c r="I58" s="253"/>
      <c r="J58" s="243"/>
      <c r="K58" s="238"/>
      <c r="L58" s="238"/>
      <c r="M58" s="238"/>
      <c r="N58" s="238"/>
      <c r="O58" s="238"/>
      <c r="P58" s="238"/>
      <c r="Q58" s="238"/>
      <c r="R58" s="238"/>
      <c r="S58" s="238"/>
      <c r="T58" s="238"/>
      <c r="U58" s="239"/>
    </row>
    <row r="59" spans="1:21" x14ac:dyDescent="0.3">
      <c r="A59" s="238"/>
      <c r="B59" s="371" t="s">
        <v>313</v>
      </c>
      <c r="C59" s="372">
        <f>47634/('Model input'!G94/'Model input'!F94)/(1+'Model input'!C12)^11</f>
        <v>15824.108536355803</v>
      </c>
      <c r="D59" s="373" t="s">
        <v>150</v>
      </c>
      <c r="E59" s="374" t="s">
        <v>302</v>
      </c>
      <c r="G59" s="256"/>
      <c r="H59" s="257"/>
      <c r="I59" s="253"/>
      <c r="J59" s="243"/>
      <c r="K59" s="238"/>
      <c r="L59" s="238"/>
      <c r="M59" s="238"/>
      <c r="N59" s="238"/>
      <c r="O59" s="238"/>
      <c r="P59" s="238"/>
      <c r="Q59" s="238"/>
      <c r="R59" s="238"/>
      <c r="S59" s="238"/>
      <c r="T59" s="238"/>
      <c r="U59" s="239"/>
    </row>
    <row r="60" spans="1:21" x14ac:dyDescent="0.3">
      <c r="A60" s="238"/>
      <c r="B60" s="368" t="s">
        <v>151</v>
      </c>
      <c r="C60" s="120">
        <f>71069/('Model input'!G94/'Model input'!F94)/(1+C12)^11</f>
        <v>23609.261652816698</v>
      </c>
      <c r="D60" s="369" t="s">
        <v>150</v>
      </c>
      <c r="E60" s="370" t="s">
        <v>303</v>
      </c>
      <c r="G60" s="256"/>
      <c r="H60" s="257"/>
      <c r="I60" s="253"/>
      <c r="J60" s="243"/>
      <c r="K60" s="238"/>
      <c r="L60" s="238"/>
      <c r="M60" s="238"/>
      <c r="N60" s="238"/>
      <c r="O60" s="238"/>
      <c r="P60" s="238"/>
      <c r="Q60" s="238"/>
      <c r="R60" s="238"/>
      <c r="S60" s="238"/>
      <c r="T60" s="238"/>
      <c r="U60" s="239"/>
    </row>
    <row r="61" spans="1:21" x14ac:dyDescent="0.3">
      <c r="A61" s="238"/>
      <c r="B61" s="107" t="s">
        <v>152</v>
      </c>
      <c r="C61" s="120">
        <f>0.11*28.51*3400</f>
        <v>10662.740000000002</v>
      </c>
      <c r="D61" s="123" t="s">
        <v>150</v>
      </c>
      <c r="E61" s="110" t="s">
        <v>153</v>
      </c>
      <c r="G61" s="256"/>
      <c r="H61" s="257"/>
      <c r="I61" s="253"/>
      <c r="J61" s="243"/>
      <c r="K61" s="238"/>
      <c r="L61" s="238"/>
      <c r="M61" s="238"/>
      <c r="N61" s="238"/>
      <c r="O61" s="238"/>
      <c r="P61" s="238"/>
      <c r="Q61" s="238"/>
      <c r="R61" s="238"/>
      <c r="S61" s="238"/>
      <c r="T61" s="238"/>
      <c r="U61" s="239"/>
    </row>
    <row r="62" spans="1:21" ht="8.4" customHeight="1" x14ac:dyDescent="0.3">
      <c r="A62" s="238"/>
      <c r="B62" s="238"/>
      <c r="C62" s="238"/>
      <c r="D62" s="238"/>
      <c r="E62" s="238"/>
      <c r="G62" s="238"/>
      <c r="H62" s="238"/>
      <c r="I62" s="238"/>
      <c r="J62" s="238"/>
      <c r="K62" s="238"/>
      <c r="L62" s="238"/>
      <c r="M62" s="238"/>
      <c r="N62" s="238"/>
      <c r="O62" s="238"/>
      <c r="P62" s="238"/>
      <c r="Q62" s="238"/>
      <c r="R62" s="238"/>
      <c r="S62" s="238"/>
      <c r="T62" s="238"/>
      <c r="U62" s="239"/>
    </row>
    <row r="63" spans="1:21" ht="8.5500000000000007" customHeight="1" x14ac:dyDescent="0.3">
      <c r="A63" s="238"/>
      <c r="E63" s="247"/>
      <c r="G63" s="238"/>
      <c r="H63" s="238"/>
      <c r="I63" s="238"/>
      <c r="J63" s="238"/>
      <c r="K63" s="238"/>
      <c r="L63" s="238"/>
      <c r="M63" s="238"/>
      <c r="N63" s="238"/>
      <c r="O63" s="238"/>
      <c r="P63" s="238"/>
      <c r="Q63" s="238"/>
      <c r="R63" s="238"/>
      <c r="S63" s="238"/>
      <c r="T63" s="238"/>
      <c r="U63" s="239"/>
    </row>
    <row r="64" spans="1:21" x14ac:dyDescent="0.3">
      <c r="A64" s="238"/>
      <c r="B64" s="258" t="s">
        <v>154</v>
      </c>
      <c r="C64" s="238"/>
      <c r="D64" s="238"/>
      <c r="E64" s="238"/>
      <c r="F64" s="238"/>
      <c r="G64" s="238"/>
      <c r="H64" s="238"/>
      <c r="I64" s="238"/>
      <c r="J64" s="238"/>
      <c r="K64" s="238"/>
      <c r="L64" s="238"/>
      <c r="M64" s="238"/>
      <c r="N64" s="238"/>
      <c r="O64" s="238"/>
      <c r="P64" s="238"/>
      <c r="Q64" s="238"/>
      <c r="R64" s="238"/>
      <c r="S64" s="238"/>
      <c r="T64" s="238"/>
      <c r="U64" s="239"/>
    </row>
    <row r="65" spans="1:23" x14ac:dyDescent="0.3">
      <c r="A65" s="238"/>
      <c r="B65" s="125" t="s">
        <v>155</v>
      </c>
      <c r="C65" s="106">
        <v>2021</v>
      </c>
      <c r="D65" s="106">
        <v>2022</v>
      </c>
      <c r="E65" s="106">
        <v>2023</v>
      </c>
      <c r="F65" s="106">
        <v>2024</v>
      </c>
      <c r="G65" s="106">
        <v>2025</v>
      </c>
      <c r="H65" s="106">
        <v>2026</v>
      </c>
      <c r="I65" s="106">
        <v>2027</v>
      </c>
      <c r="J65" s="106">
        <v>2028</v>
      </c>
      <c r="K65" s="106">
        <v>2029</v>
      </c>
      <c r="L65" s="106">
        <v>2030</v>
      </c>
      <c r="M65" s="106">
        <v>2031</v>
      </c>
      <c r="N65" s="106">
        <v>2032</v>
      </c>
      <c r="O65" s="106">
        <v>2033</v>
      </c>
      <c r="P65" s="106">
        <v>2034</v>
      </c>
      <c r="Q65" s="106">
        <v>2035</v>
      </c>
      <c r="R65" s="106">
        <v>2036</v>
      </c>
      <c r="S65" s="106">
        <v>2037</v>
      </c>
      <c r="T65" s="106">
        <v>2038</v>
      </c>
      <c r="U65" s="106" t="s">
        <v>80</v>
      </c>
    </row>
    <row r="66" spans="1:23" ht="14.55" customHeight="1" x14ac:dyDescent="0.3">
      <c r="A66" s="238"/>
      <c r="B66" s="107" t="s">
        <v>156</v>
      </c>
      <c r="C66" s="132">
        <v>833</v>
      </c>
      <c r="D66" s="132">
        <v>1096</v>
      </c>
      <c r="E66" s="132">
        <v>1368</v>
      </c>
      <c r="F66" s="132">
        <v>2033</v>
      </c>
      <c r="G66" s="132">
        <v>2500</v>
      </c>
      <c r="H66" s="259">
        <f t="shared" ref="H66:T66" si="0">H67*(H$94/$F$94)</f>
        <v>2141.9481982697316</v>
      </c>
      <c r="I66" s="259">
        <f t="shared" si="0"/>
        <v>2243.6977695724336</v>
      </c>
      <c r="J66" s="259">
        <f t="shared" si="0"/>
        <v>2339.7497110672862</v>
      </c>
      <c r="K66" s="259">
        <f t="shared" si="0"/>
        <v>2446.374722559995</v>
      </c>
      <c r="L66" s="259">
        <f t="shared" si="0"/>
        <v>2562.9237069838441</v>
      </c>
      <c r="M66" s="259">
        <f t="shared" si="0"/>
        <v>2680.8181975051011</v>
      </c>
      <c r="N66" s="259">
        <f t="shared" si="0"/>
        <v>2804.1358345903354</v>
      </c>
      <c r="O66" s="259">
        <f t="shared" si="0"/>
        <v>2933.126082981491</v>
      </c>
      <c r="P66" s="259">
        <f t="shared" si="0"/>
        <v>3068.0498827986394</v>
      </c>
      <c r="Q66" s="259">
        <f t="shared" si="0"/>
        <v>3209.1801774073774</v>
      </c>
      <c r="R66" s="259">
        <f t="shared" si="0"/>
        <v>3356.8024655681165</v>
      </c>
      <c r="S66" s="259">
        <f t="shared" si="0"/>
        <v>3511.2153789842496</v>
      </c>
      <c r="T66" s="259">
        <f t="shared" si="0"/>
        <v>3672.7312864175251</v>
      </c>
      <c r="U66" s="206" t="s">
        <v>157</v>
      </c>
    </row>
    <row r="67" spans="1:23" ht="15" thickBot="1" x14ac:dyDescent="0.35">
      <c r="A67" s="238"/>
      <c r="B67" s="127" t="s">
        <v>158</v>
      </c>
      <c r="C67" s="260">
        <f>C66/(C$94/$F$94)</f>
        <v>970.36480306829935</v>
      </c>
      <c r="D67" s="260">
        <f>D66/(D$94/$F$94)</f>
        <v>1193.7132843304291</v>
      </c>
      <c r="E67" s="260">
        <f>E66/(E$94/$F$94)</f>
        <v>1406.7614670466037</v>
      </c>
      <c r="F67" s="260">
        <f>F66/(F$94/$F$94)</f>
        <v>2033</v>
      </c>
      <c r="G67" s="260">
        <f>G66/(G$94/$F$94)</f>
        <v>2369.5274606570224</v>
      </c>
      <c r="H67" s="261">
        <f>AVERAGE(E67:G67)*(1+'Sensitivity analysis'!$C$6)</f>
        <v>1936.4296425678756</v>
      </c>
      <c r="I67" s="261">
        <f>H67*(1+'Sensitivity analysis'!$C$6)</f>
        <v>1936.4296425678756</v>
      </c>
      <c r="J67" s="261">
        <f>I67*(1+'Sensitivity analysis'!$C$6)</f>
        <v>1936.4296425678756</v>
      </c>
      <c r="K67" s="261">
        <f>J67*(1+'Sensitivity analysis'!$C$6)</f>
        <v>1936.4296425678756</v>
      </c>
      <c r="L67" s="261">
        <f>K67*(1+'Sensitivity analysis'!$C$6)</f>
        <v>1936.4296425678756</v>
      </c>
      <c r="M67" s="261">
        <f>L67*(1+'Sensitivity analysis'!$C$6)</f>
        <v>1936.4296425678756</v>
      </c>
      <c r="N67" s="261">
        <f>M67*(1+'Sensitivity analysis'!$C$6)</f>
        <v>1936.4296425678756</v>
      </c>
      <c r="O67" s="261">
        <f>N67*(1+'Sensitivity analysis'!$C$6)</f>
        <v>1936.4296425678756</v>
      </c>
      <c r="P67" s="261">
        <f>O67*(1+'Sensitivity analysis'!$C$6)</f>
        <v>1936.4296425678756</v>
      </c>
      <c r="Q67" s="261">
        <f>P67*(1+'Sensitivity analysis'!$C$6)</f>
        <v>1936.4296425678756</v>
      </c>
      <c r="R67" s="261">
        <f>Q67*(1+'Sensitivity analysis'!$C$6)</f>
        <v>1936.4296425678756</v>
      </c>
      <c r="S67" s="261">
        <f>R67*(1+'Sensitivity analysis'!$C$6)</f>
        <v>1936.4296425678756</v>
      </c>
      <c r="T67" s="261">
        <f>S67*(1+'Sensitivity analysis'!$C$6)</f>
        <v>1936.4296425678756</v>
      </c>
      <c r="U67" s="207" t="s">
        <v>159</v>
      </c>
    </row>
    <row r="68" spans="1:23" x14ac:dyDescent="0.3">
      <c r="A68" s="238"/>
      <c r="B68" s="128" t="s">
        <v>160</v>
      </c>
      <c r="C68" s="262"/>
      <c r="D68" s="262"/>
      <c r="E68" s="263">
        <f t="shared" ref="E68:T68" si="1">E69*(E$94/$F$94)</f>
        <v>4862.231558247111</v>
      </c>
      <c r="F68" s="263">
        <f t="shared" si="1"/>
        <v>5000</v>
      </c>
      <c r="G68" s="263">
        <f t="shared" si="1"/>
        <v>5275.3134148249128</v>
      </c>
      <c r="H68" s="264">
        <f t="shared" si="1"/>
        <v>5530.6636274926068</v>
      </c>
      <c r="I68" s="264">
        <f t="shared" si="1"/>
        <v>5793.3883066288263</v>
      </c>
      <c r="J68" s="264">
        <f t="shared" si="1"/>
        <v>6041.4012976081403</v>
      </c>
      <c r="K68" s="264">
        <f t="shared" si="1"/>
        <v>6316.7147124330513</v>
      </c>
      <c r="L68" s="264">
        <f t="shared" si="1"/>
        <v>6617.6525359970792</v>
      </c>
      <c r="M68" s="264">
        <f t="shared" si="1"/>
        <v>6922.0645526529461</v>
      </c>
      <c r="N68" s="264">
        <f t="shared" si="1"/>
        <v>7240.4795220749811</v>
      </c>
      <c r="O68" s="264">
        <f t="shared" si="1"/>
        <v>7573.5415800904293</v>
      </c>
      <c r="P68" s="264">
        <f t="shared" si="1"/>
        <v>7921.9244927745895</v>
      </c>
      <c r="Q68" s="264">
        <f t="shared" si="1"/>
        <v>8286.3330194422215</v>
      </c>
      <c r="R68" s="264">
        <f t="shared" si="1"/>
        <v>8667.5043383365628</v>
      </c>
      <c r="S68" s="264">
        <f t="shared" si="1"/>
        <v>9066.2095379000457</v>
      </c>
      <c r="T68" s="264">
        <f t="shared" si="1"/>
        <v>9483.2551766434462</v>
      </c>
      <c r="U68" s="129" t="s">
        <v>161</v>
      </c>
    </row>
    <row r="69" spans="1:23" ht="15" thickBot="1" x14ac:dyDescent="0.35">
      <c r="A69" s="238"/>
      <c r="B69" s="127" t="s">
        <v>162</v>
      </c>
      <c r="C69" s="265"/>
      <c r="D69" s="265"/>
      <c r="E69" s="133">
        <v>5000</v>
      </c>
      <c r="F69" s="266">
        <f t="shared" ref="F69:T69" si="2">$E$69</f>
        <v>5000</v>
      </c>
      <c r="G69" s="266">
        <f t="shared" si="2"/>
        <v>5000</v>
      </c>
      <c r="H69" s="267">
        <f t="shared" si="2"/>
        <v>5000</v>
      </c>
      <c r="I69" s="267">
        <f t="shared" si="2"/>
        <v>5000</v>
      </c>
      <c r="J69" s="267">
        <f t="shared" si="2"/>
        <v>5000</v>
      </c>
      <c r="K69" s="267">
        <f t="shared" si="2"/>
        <v>5000</v>
      </c>
      <c r="L69" s="267">
        <f t="shared" si="2"/>
        <v>5000</v>
      </c>
      <c r="M69" s="267">
        <f t="shared" si="2"/>
        <v>5000</v>
      </c>
      <c r="N69" s="267">
        <f t="shared" si="2"/>
        <v>5000</v>
      </c>
      <c r="O69" s="267">
        <f t="shared" si="2"/>
        <v>5000</v>
      </c>
      <c r="P69" s="267">
        <f t="shared" si="2"/>
        <v>5000</v>
      </c>
      <c r="Q69" s="267">
        <f t="shared" si="2"/>
        <v>5000</v>
      </c>
      <c r="R69" s="267">
        <f t="shared" si="2"/>
        <v>5000</v>
      </c>
      <c r="S69" s="267">
        <f t="shared" si="2"/>
        <v>5000</v>
      </c>
      <c r="T69" s="267">
        <f t="shared" si="2"/>
        <v>5000</v>
      </c>
      <c r="U69" s="130" t="s">
        <v>163</v>
      </c>
    </row>
    <row r="70" spans="1:23" x14ac:dyDescent="0.3">
      <c r="A70" s="238"/>
      <c r="B70" s="128" t="s">
        <v>164</v>
      </c>
      <c r="C70" s="262"/>
      <c r="D70" s="262"/>
      <c r="E70" s="262">
        <f>1700*0.6</f>
        <v>1020</v>
      </c>
      <c r="F70" s="263">
        <f>1164*0.6</f>
        <v>698.4</v>
      </c>
      <c r="G70" s="263">
        <f>1535*0.6</f>
        <v>921</v>
      </c>
      <c r="H70" s="268">
        <f t="shared" ref="H70:T70" si="3">H71*(H$94/$F$94)</f>
        <v>966.10923115079174</v>
      </c>
      <c r="I70" s="268">
        <f t="shared" si="3"/>
        <v>1012.0025913079531</v>
      </c>
      <c r="J70" s="268">
        <f t="shared" si="3"/>
        <v>1055.3260794404364</v>
      </c>
      <c r="K70" s="268">
        <f t="shared" si="3"/>
        <v>1103.418469330107</v>
      </c>
      <c r="L70" s="268">
        <f t="shared" si="3"/>
        <v>1155.9869907463058</v>
      </c>
      <c r="M70" s="268">
        <f t="shared" si="3"/>
        <v>1209.1623923206357</v>
      </c>
      <c r="N70" s="268">
        <f t="shared" si="3"/>
        <v>1264.7838623673849</v>
      </c>
      <c r="O70" s="268">
        <f t="shared" si="3"/>
        <v>1322.9639200362847</v>
      </c>
      <c r="P70" s="268">
        <f t="shared" si="3"/>
        <v>1383.8202603579537</v>
      </c>
      <c r="Q70" s="268">
        <f t="shared" si="3"/>
        <v>1447.4759923344197</v>
      </c>
      <c r="R70" s="268">
        <f t="shared" si="3"/>
        <v>1514.0598879818031</v>
      </c>
      <c r="S70" s="268">
        <f t="shared" si="3"/>
        <v>1583.7066428289659</v>
      </c>
      <c r="T70" s="268">
        <f t="shared" si="3"/>
        <v>1656.5571483990984</v>
      </c>
      <c r="U70" s="427" t="s">
        <v>165</v>
      </c>
    </row>
    <row r="71" spans="1:23" ht="15" thickBot="1" x14ac:dyDescent="0.35">
      <c r="A71" s="238"/>
      <c r="B71" s="127" t="s">
        <v>166</v>
      </c>
      <c r="C71" s="265"/>
      <c r="D71" s="265"/>
      <c r="E71" s="265">
        <f>E70/(E$94/$F$94)</f>
        <v>1048.9010938505378</v>
      </c>
      <c r="F71" s="265">
        <f>F70/(F$94/$F$94)</f>
        <v>698.4</v>
      </c>
      <c r="G71" s="265">
        <f>G70/(G$94/$F$94)</f>
        <v>872.93391650604701</v>
      </c>
      <c r="H71" s="267">
        <f>AVERAGE(E71:G71)</f>
        <v>873.41167011886148</v>
      </c>
      <c r="I71" s="267">
        <f t="shared" ref="I71:T71" si="4">$H$71</f>
        <v>873.41167011886148</v>
      </c>
      <c r="J71" s="267">
        <f t="shared" si="4"/>
        <v>873.41167011886148</v>
      </c>
      <c r="K71" s="267">
        <f t="shared" si="4"/>
        <v>873.41167011886148</v>
      </c>
      <c r="L71" s="267">
        <f t="shared" si="4"/>
        <v>873.41167011886148</v>
      </c>
      <c r="M71" s="267">
        <f t="shared" si="4"/>
        <v>873.41167011886148</v>
      </c>
      <c r="N71" s="267">
        <f t="shared" si="4"/>
        <v>873.41167011886148</v>
      </c>
      <c r="O71" s="267">
        <f t="shared" si="4"/>
        <v>873.41167011886148</v>
      </c>
      <c r="P71" s="267">
        <f t="shared" si="4"/>
        <v>873.41167011886148</v>
      </c>
      <c r="Q71" s="267">
        <f t="shared" si="4"/>
        <v>873.41167011886148</v>
      </c>
      <c r="R71" s="267">
        <f t="shared" si="4"/>
        <v>873.41167011886148</v>
      </c>
      <c r="S71" s="267">
        <f t="shared" si="4"/>
        <v>873.41167011886148</v>
      </c>
      <c r="T71" s="267">
        <f t="shared" si="4"/>
        <v>873.41167011886148</v>
      </c>
      <c r="U71" s="428"/>
    </row>
    <row r="72" spans="1:23" x14ac:dyDescent="0.3">
      <c r="A72" s="238"/>
      <c r="B72" s="126" t="s">
        <v>167</v>
      </c>
      <c r="C72" s="269"/>
      <c r="D72" s="269"/>
      <c r="E72" s="269"/>
      <c r="F72" s="269">
        <f t="shared" ref="F72:T72" si="5">F73*(F$94/$F$94)</f>
        <v>4000</v>
      </c>
      <c r="G72" s="270">
        <f t="shared" si="5"/>
        <v>4220.2507318599301</v>
      </c>
      <c r="H72" s="270">
        <f t="shared" si="5"/>
        <v>4424.5309019940851</v>
      </c>
      <c r="I72" s="270">
        <f t="shared" si="5"/>
        <v>4634.710645303061</v>
      </c>
      <c r="J72" s="270">
        <f t="shared" si="5"/>
        <v>4833.1210380865123</v>
      </c>
      <c r="K72" s="270">
        <f t="shared" si="5"/>
        <v>5053.3717699464414</v>
      </c>
      <c r="L72" s="270">
        <f t="shared" si="5"/>
        <v>5294.1220287976639</v>
      </c>
      <c r="M72" s="270">
        <f t="shared" si="5"/>
        <v>5537.6516421223569</v>
      </c>
      <c r="N72" s="270">
        <f t="shared" si="5"/>
        <v>5792.3836176599843</v>
      </c>
      <c r="O72" s="270">
        <f t="shared" si="5"/>
        <v>6058.8332640723438</v>
      </c>
      <c r="P72" s="270">
        <f t="shared" si="5"/>
        <v>6337.539594219671</v>
      </c>
      <c r="Q72" s="270">
        <f t="shared" si="5"/>
        <v>6629.066415553777</v>
      </c>
      <c r="R72" s="270">
        <f t="shared" si="5"/>
        <v>6934.0034706692504</v>
      </c>
      <c r="S72" s="270">
        <f t="shared" si="5"/>
        <v>7252.9676303200358</v>
      </c>
      <c r="T72" s="270">
        <f t="shared" si="5"/>
        <v>7586.6041413147577</v>
      </c>
      <c r="U72" s="131" t="s">
        <v>168</v>
      </c>
    </row>
    <row r="73" spans="1:23" x14ac:dyDescent="0.3">
      <c r="A73" s="238"/>
      <c r="B73" s="107" t="s">
        <v>169</v>
      </c>
      <c r="C73" s="271"/>
      <c r="D73" s="271"/>
      <c r="E73" s="271"/>
      <c r="F73" s="120">
        <v>4000</v>
      </c>
      <c r="G73" s="259">
        <f t="shared" ref="G73:T73" si="6">$F$73</f>
        <v>4000</v>
      </c>
      <c r="H73" s="259">
        <f t="shared" si="6"/>
        <v>4000</v>
      </c>
      <c r="I73" s="259">
        <f t="shared" si="6"/>
        <v>4000</v>
      </c>
      <c r="J73" s="259">
        <f t="shared" si="6"/>
        <v>4000</v>
      </c>
      <c r="K73" s="259">
        <f t="shared" si="6"/>
        <v>4000</v>
      </c>
      <c r="L73" s="259">
        <f t="shared" si="6"/>
        <v>4000</v>
      </c>
      <c r="M73" s="259">
        <f t="shared" si="6"/>
        <v>4000</v>
      </c>
      <c r="N73" s="259">
        <f t="shared" si="6"/>
        <v>4000</v>
      </c>
      <c r="O73" s="259">
        <f t="shared" si="6"/>
        <v>4000</v>
      </c>
      <c r="P73" s="259">
        <f t="shared" si="6"/>
        <v>4000</v>
      </c>
      <c r="Q73" s="259">
        <f t="shared" si="6"/>
        <v>4000</v>
      </c>
      <c r="R73" s="259">
        <f t="shared" si="6"/>
        <v>4000</v>
      </c>
      <c r="S73" s="259">
        <f t="shared" si="6"/>
        <v>4000</v>
      </c>
      <c r="T73" s="259">
        <f t="shared" si="6"/>
        <v>4000</v>
      </c>
      <c r="U73" s="123" t="s">
        <v>170</v>
      </c>
    </row>
    <row r="74" spans="1:23" x14ac:dyDescent="0.3">
      <c r="A74" s="238"/>
      <c r="B74" s="109"/>
      <c r="C74" s="272"/>
      <c r="D74" s="272"/>
      <c r="E74" s="272"/>
      <c r="F74" s="272"/>
      <c r="G74" s="272"/>
      <c r="H74" s="272"/>
      <c r="I74" s="272"/>
      <c r="J74" s="272"/>
      <c r="K74" s="272"/>
      <c r="L74" s="272"/>
      <c r="M74" s="272"/>
      <c r="N74" s="272"/>
      <c r="O74" s="272"/>
      <c r="P74" s="272"/>
      <c r="Q74" s="272"/>
      <c r="R74" s="272"/>
      <c r="S74" s="272"/>
      <c r="T74" s="272"/>
      <c r="U74" s="273"/>
      <c r="V74" s="272"/>
      <c r="W74" s="272"/>
    </row>
    <row r="75" spans="1:23" x14ac:dyDescent="0.3">
      <c r="A75" s="238"/>
      <c r="B75" s="106" t="s">
        <v>79</v>
      </c>
      <c r="C75" s="106" t="s">
        <v>74</v>
      </c>
      <c r="D75" s="106" t="s">
        <v>80</v>
      </c>
      <c r="E75" s="272"/>
      <c r="F75" s="274"/>
      <c r="G75" s="272"/>
      <c r="H75" s="272"/>
      <c r="I75" s="272"/>
      <c r="J75" s="272"/>
      <c r="K75" s="272"/>
      <c r="L75" s="272"/>
      <c r="M75" s="272"/>
      <c r="N75" s="272"/>
      <c r="O75" s="272"/>
      <c r="P75" s="272"/>
      <c r="Q75" s="272"/>
      <c r="R75" s="272"/>
      <c r="S75" s="272"/>
      <c r="T75" s="272"/>
      <c r="U75" s="154"/>
    </row>
    <row r="76" spans="1:23" ht="14.55" customHeight="1" x14ac:dyDescent="0.3">
      <c r="A76" s="238"/>
      <c r="B76" s="107" t="s">
        <v>171</v>
      </c>
      <c r="C76" s="116">
        <f>'Sensitivity analysis'!C7</f>
        <v>-7.2999999999999995E-2</v>
      </c>
      <c r="D76" s="112" t="s">
        <v>172</v>
      </c>
      <c r="F76" s="274"/>
      <c r="G76" s="272"/>
      <c r="H76" s="272"/>
      <c r="I76" s="272"/>
      <c r="J76" s="272"/>
      <c r="K76" s="272"/>
      <c r="L76" s="272"/>
      <c r="M76" s="272"/>
      <c r="N76" s="272"/>
      <c r="O76" s="272"/>
      <c r="P76" s="272"/>
      <c r="Q76" s="272"/>
      <c r="R76" s="272"/>
      <c r="S76" s="272"/>
      <c r="T76" s="272"/>
      <c r="U76" s="154"/>
    </row>
    <row r="77" spans="1:23" ht="7.95" customHeight="1" x14ac:dyDescent="0.3">
      <c r="A77" s="238"/>
      <c r="B77" s="109"/>
      <c r="C77" s="155"/>
      <c r="D77" s="155"/>
      <c r="E77" s="97"/>
      <c r="F77" s="274"/>
      <c r="G77" s="272"/>
      <c r="H77" s="272"/>
      <c r="I77" s="272"/>
      <c r="J77" s="272"/>
      <c r="K77" s="272"/>
      <c r="L77" s="272"/>
      <c r="M77" s="272"/>
      <c r="N77" s="272"/>
      <c r="O77" s="272"/>
      <c r="P77" s="272"/>
      <c r="Q77" s="272"/>
      <c r="R77" s="272"/>
      <c r="S77" s="272"/>
      <c r="T77" s="272"/>
      <c r="U77" s="154"/>
    </row>
    <row r="78" spans="1:23" ht="9" customHeight="1" x14ac:dyDescent="0.3">
      <c r="A78" s="238"/>
      <c r="B78" s="238"/>
      <c r="C78" s="238"/>
      <c r="D78" s="238"/>
      <c r="E78" s="238"/>
      <c r="F78" s="238"/>
      <c r="G78" s="238"/>
      <c r="H78" s="238"/>
      <c r="I78" s="238"/>
      <c r="J78" s="238"/>
      <c r="K78" s="238"/>
      <c r="L78" s="238"/>
      <c r="M78" s="238"/>
      <c r="N78" s="238"/>
      <c r="O78" s="238"/>
      <c r="P78" s="238"/>
      <c r="Q78" s="238"/>
      <c r="R78" s="238"/>
      <c r="S78" s="238"/>
      <c r="T78" s="238"/>
      <c r="U78" s="239"/>
    </row>
    <row r="79" spans="1:23" x14ac:dyDescent="0.3">
      <c r="A79" s="238"/>
      <c r="B79" s="258" t="s">
        <v>173</v>
      </c>
      <c r="C79" s="238"/>
      <c r="D79" s="238"/>
      <c r="E79" s="238"/>
      <c r="F79" s="238"/>
      <c r="G79" s="238"/>
      <c r="H79" s="152"/>
      <c r="I79" s="238"/>
      <c r="J79" s="238"/>
      <c r="K79" s="238"/>
      <c r="L79" s="238"/>
      <c r="M79" s="238"/>
      <c r="N79" s="238"/>
      <c r="O79" s="238"/>
      <c r="P79" s="238"/>
      <c r="Q79" s="238"/>
      <c r="R79" s="238"/>
      <c r="S79" s="238"/>
      <c r="T79" s="238"/>
      <c r="U79" s="239"/>
    </row>
    <row r="80" spans="1:23" x14ac:dyDescent="0.3">
      <c r="A80" s="241"/>
      <c r="B80" s="125" t="s">
        <v>174</v>
      </c>
      <c r="C80" s="106">
        <v>2024</v>
      </c>
      <c r="D80" s="106">
        <v>2025</v>
      </c>
      <c r="E80" s="106">
        <v>2026</v>
      </c>
      <c r="F80" s="106">
        <v>2027</v>
      </c>
      <c r="G80" s="106"/>
      <c r="H80" s="238"/>
      <c r="I80" s="238"/>
      <c r="J80" s="238"/>
      <c r="K80" s="238"/>
      <c r="L80" s="238"/>
      <c r="M80" s="238"/>
      <c r="N80" s="238"/>
      <c r="O80" s="238"/>
      <c r="P80" s="238"/>
      <c r="Q80" s="238"/>
      <c r="R80" s="238"/>
      <c r="S80" s="238"/>
      <c r="T80" s="238"/>
      <c r="U80" s="239"/>
    </row>
    <row r="81" spans="1:21" x14ac:dyDescent="0.3">
      <c r="A81" s="241"/>
      <c r="B81" s="107" t="s">
        <v>282</v>
      </c>
      <c r="C81" s="132">
        <v>0</v>
      </c>
      <c r="D81" s="132">
        <f>7500*0.97</f>
        <v>7275</v>
      </c>
      <c r="E81" s="132">
        <f>15000*0.97</f>
        <v>14550</v>
      </c>
      <c r="F81" s="132">
        <f>30000*0.97</f>
        <v>29100</v>
      </c>
      <c r="G81" s="352"/>
      <c r="H81" s="238"/>
      <c r="I81" s="238"/>
      <c r="J81" s="238"/>
      <c r="K81" s="238"/>
      <c r="L81" s="238"/>
      <c r="M81" s="238"/>
      <c r="N81" s="238"/>
      <c r="O81" s="238"/>
      <c r="P81" s="238"/>
      <c r="Q81" s="238"/>
      <c r="R81" s="238"/>
      <c r="S81" s="238"/>
      <c r="T81" s="238"/>
      <c r="U81" s="239"/>
    </row>
    <row r="82" spans="1:21" x14ac:dyDescent="0.3">
      <c r="A82" s="241"/>
      <c r="B82" s="107" t="s">
        <v>283</v>
      </c>
      <c r="C82" s="275"/>
      <c r="D82" s="275"/>
      <c r="E82" s="275"/>
      <c r="F82" s="275"/>
      <c r="G82" s="352"/>
      <c r="H82" s="238"/>
      <c r="I82" s="238"/>
      <c r="J82" s="238"/>
      <c r="K82" s="238"/>
      <c r="L82" s="238"/>
      <c r="M82" s="238"/>
      <c r="N82" s="238"/>
      <c r="O82" s="238"/>
      <c r="P82" s="238"/>
      <c r="Q82" s="238"/>
      <c r="R82" s="238"/>
      <c r="S82" s="238"/>
      <c r="T82" s="238"/>
      <c r="U82" s="239"/>
    </row>
    <row r="83" spans="1:21" x14ac:dyDescent="0.3">
      <c r="A83" s="241"/>
      <c r="B83" s="107" t="s">
        <v>284</v>
      </c>
      <c r="C83" s="132">
        <f>4000*0.97</f>
        <v>3880</v>
      </c>
      <c r="D83" s="132">
        <f>4000*0.97</f>
        <v>3880</v>
      </c>
      <c r="E83" s="132">
        <f>4000*0.97</f>
        <v>3880</v>
      </c>
      <c r="F83" s="132">
        <f>4000*0.97</f>
        <v>3880</v>
      </c>
      <c r="G83" s="352"/>
      <c r="H83" s="238"/>
      <c r="I83" s="238"/>
      <c r="J83" s="238"/>
      <c r="K83" s="238"/>
      <c r="L83" s="238"/>
      <c r="M83" s="238"/>
      <c r="N83" s="238"/>
      <c r="O83" s="238"/>
      <c r="P83" s="238"/>
      <c r="Q83" s="238"/>
      <c r="R83" s="238"/>
      <c r="S83" s="238"/>
      <c r="T83" s="238"/>
      <c r="U83" s="239"/>
    </row>
    <row r="84" spans="1:21" x14ac:dyDescent="0.3">
      <c r="A84" s="241"/>
      <c r="B84" s="107" t="s">
        <v>285</v>
      </c>
      <c r="C84" s="275"/>
      <c r="D84" s="135"/>
      <c r="E84" s="275"/>
      <c r="F84" s="275"/>
      <c r="G84" s="352"/>
      <c r="H84" s="238"/>
      <c r="I84" s="238"/>
      <c r="J84" s="238"/>
      <c r="K84" s="238"/>
      <c r="L84" s="238"/>
      <c r="M84" s="238"/>
      <c r="N84" s="238"/>
      <c r="O84" s="238"/>
      <c r="P84" s="238"/>
      <c r="Q84" s="238"/>
      <c r="R84" s="238"/>
      <c r="S84" s="238"/>
      <c r="T84" s="238"/>
      <c r="U84" s="239"/>
    </row>
    <row r="85" spans="1:21" x14ac:dyDescent="0.3">
      <c r="A85" s="241"/>
      <c r="B85" s="107" t="s">
        <v>286</v>
      </c>
      <c r="C85" s="134">
        <f>C81+C83</f>
        <v>3880</v>
      </c>
      <c r="D85" s="135">
        <f>D81+D83</f>
        <v>11155</v>
      </c>
      <c r="E85" s="135">
        <f>E81+E83</f>
        <v>18430</v>
      </c>
      <c r="F85" s="135">
        <f>F81+F83</f>
        <v>32980</v>
      </c>
      <c r="G85" s="353">
        <f>SUM(C85:F85)</f>
        <v>66445</v>
      </c>
      <c r="H85" s="238" t="s">
        <v>297</v>
      </c>
      <c r="I85" s="238"/>
      <c r="J85" s="238"/>
      <c r="K85" s="238"/>
      <c r="L85" s="238"/>
      <c r="M85" s="238"/>
      <c r="N85" s="238"/>
      <c r="O85" s="238"/>
      <c r="P85" s="238"/>
      <c r="Q85" s="238"/>
      <c r="R85" s="238"/>
      <c r="S85" s="238"/>
      <c r="T85" s="238"/>
      <c r="U85" s="239"/>
    </row>
    <row r="86" spans="1:21" x14ac:dyDescent="0.3">
      <c r="A86" s="241"/>
      <c r="B86" s="107" t="s">
        <v>287</v>
      </c>
      <c r="C86" s="275"/>
      <c r="D86" s="135"/>
      <c r="E86" s="135"/>
      <c r="F86" s="276"/>
      <c r="G86" s="352"/>
      <c r="H86" s="238"/>
      <c r="I86" s="238"/>
      <c r="J86" s="238"/>
      <c r="K86" s="238"/>
      <c r="L86" s="238"/>
      <c r="M86" s="238"/>
      <c r="N86" s="238"/>
      <c r="O86" s="238"/>
      <c r="P86" s="238"/>
      <c r="Q86" s="238"/>
      <c r="R86" s="238"/>
      <c r="S86" s="238"/>
      <c r="T86" s="238"/>
      <c r="U86" s="239"/>
    </row>
    <row r="87" spans="1:21" x14ac:dyDescent="0.3">
      <c r="A87" s="241"/>
      <c r="B87" s="107" t="s">
        <v>279</v>
      </c>
      <c r="C87" s="134">
        <f>SROI!D115+SROI!D101</f>
        <v>3880</v>
      </c>
      <c r="D87" s="135">
        <f>SROI!E115+SROI!E101</f>
        <v>8245</v>
      </c>
      <c r="E87" s="135">
        <f>SROI!F115+SROI!F101</f>
        <v>10063.75</v>
      </c>
      <c r="F87" s="276">
        <f>SROI!G115+SROI!G101</f>
        <v>19157.5</v>
      </c>
      <c r="G87" s="276">
        <f>SUM(C87:F87)</f>
        <v>41346.25</v>
      </c>
      <c r="H87" s="238" t="s">
        <v>16</v>
      </c>
      <c r="I87" s="238"/>
      <c r="J87" s="238"/>
      <c r="K87" s="238"/>
      <c r="L87" s="238"/>
      <c r="M87" s="238"/>
      <c r="N87" s="238"/>
      <c r="O87" s="238"/>
      <c r="P87" s="238"/>
      <c r="Q87" s="238"/>
      <c r="R87" s="238"/>
      <c r="S87" s="238"/>
      <c r="T87" s="238"/>
      <c r="U87" s="239"/>
    </row>
    <row r="88" spans="1:21" x14ac:dyDescent="0.3">
      <c r="U88" s="10"/>
    </row>
    <row r="89" spans="1:21" x14ac:dyDescent="0.3">
      <c r="A89" s="252"/>
      <c r="B89" s="277" t="s">
        <v>175</v>
      </c>
      <c r="C89" s="108">
        <v>0.75</v>
      </c>
      <c r="D89" s="123" t="s">
        <v>176</v>
      </c>
      <c r="E89" s="255"/>
      <c r="F89" s="238"/>
      <c r="G89" s="238"/>
      <c r="K89" s="238"/>
      <c r="L89" s="238"/>
      <c r="M89" s="238"/>
      <c r="N89" s="238"/>
      <c r="O89" s="238"/>
      <c r="P89" s="238"/>
      <c r="Q89" s="238"/>
      <c r="R89" s="238"/>
      <c r="S89" s="238"/>
      <c r="T89" s="238"/>
      <c r="U89" s="239"/>
    </row>
    <row r="90" spans="1:21" ht="9.6" customHeight="1" x14ac:dyDescent="0.3">
      <c r="A90" s="252"/>
      <c r="B90" s="252"/>
      <c r="C90" s="255"/>
      <c r="D90" s="255"/>
      <c r="E90" s="255"/>
      <c r="F90" s="238"/>
      <c r="G90" s="238"/>
      <c r="K90" s="238"/>
      <c r="L90" s="238"/>
      <c r="M90" s="238"/>
      <c r="N90" s="238"/>
      <c r="O90" s="238"/>
      <c r="P90" s="238"/>
      <c r="Q90" s="238"/>
      <c r="R90" s="238"/>
      <c r="S90" s="238"/>
      <c r="T90" s="238"/>
      <c r="U90" s="239"/>
    </row>
    <row r="91" spans="1:21" ht="9.6" customHeight="1" x14ac:dyDescent="0.3">
      <c r="A91" s="238"/>
      <c r="B91" s="238"/>
      <c r="C91" s="238"/>
      <c r="D91" s="238"/>
      <c r="E91" s="238"/>
      <c r="F91" s="238"/>
      <c r="G91" s="238"/>
      <c r="H91" s="238"/>
      <c r="I91" s="238"/>
      <c r="J91" s="238"/>
      <c r="K91" s="238"/>
      <c r="L91" s="238"/>
      <c r="M91" s="238"/>
      <c r="N91" s="238"/>
      <c r="O91" s="238"/>
      <c r="P91" s="238"/>
      <c r="Q91" s="238"/>
      <c r="R91" s="238"/>
      <c r="S91" s="238"/>
      <c r="T91" s="238"/>
      <c r="U91" s="239"/>
    </row>
    <row r="92" spans="1:21" x14ac:dyDescent="0.3">
      <c r="A92" s="238"/>
      <c r="B92" s="258" t="s">
        <v>177</v>
      </c>
      <c r="C92" s="238"/>
      <c r="D92" s="238"/>
      <c r="E92" s="238"/>
      <c r="F92" s="238"/>
      <c r="G92" s="238"/>
      <c r="H92" s="238"/>
      <c r="I92" s="238"/>
      <c r="J92" s="238"/>
      <c r="K92" s="238"/>
      <c r="L92" s="238"/>
      <c r="M92" s="238"/>
      <c r="N92" s="238"/>
      <c r="O92" s="238"/>
      <c r="P92" s="238"/>
      <c r="Q92" s="238"/>
      <c r="R92" s="238"/>
      <c r="S92" s="238"/>
      <c r="T92" s="238"/>
      <c r="U92" s="239"/>
    </row>
    <row r="93" spans="1:21" x14ac:dyDescent="0.3">
      <c r="A93" s="278"/>
      <c r="B93" s="136" t="s">
        <v>155</v>
      </c>
      <c r="C93" s="137">
        <v>2021</v>
      </c>
      <c r="D93" s="137">
        <v>2022</v>
      </c>
      <c r="E93" s="137">
        <v>2023</v>
      </c>
      <c r="F93" s="137">
        <v>2024</v>
      </c>
      <c r="G93" s="137">
        <v>2025</v>
      </c>
      <c r="H93" s="137">
        <v>2026</v>
      </c>
      <c r="I93" s="137">
        <v>2027</v>
      </c>
      <c r="J93" s="137">
        <v>2028</v>
      </c>
      <c r="K93" s="137">
        <v>2029</v>
      </c>
      <c r="L93" s="137">
        <v>2030</v>
      </c>
      <c r="M93" s="137">
        <v>2031</v>
      </c>
      <c r="N93" s="137">
        <v>2032</v>
      </c>
      <c r="O93" s="137">
        <v>2033</v>
      </c>
      <c r="P93" s="137">
        <v>2034</v>
      </c>
      <c r="Q93" s="137">
        <v>2035</v>
      </c>
      <c r="R93" s="137">
        <v>2036</v>
      </c>
      <c r="S93" s="137">
        <v>2037</v>
      </c>
      <c r="T93" s="137">
        <v>2038</v>
      </c>
      <c r="U93" s="137" t="s">
        <v>178</v>
      </c>
    </row>
    <row r="94" spans="1:21" x14ac:dyDescent="0.3">
      <c r="A94" s="278"/>
      <c r="B94" s="138" t="s">
        <v>179</v>
      </c>
      <c r="C94" s="143">
        <v>115.24299999999999</v>
      </c>
      <c r="D94" s="144">
        <v>123.258</v>
      </c>
      <c r="E94" s="144">
        <v>130.548</v>
      </c>
      <c r="F94" s="144">
        <v>134.24700000000001</v>
      </c>
      <c r="G94" s="144">
        <v>141.63900000000001</v>
      </c>
      <c r="H94" s="144">
        <v>148.495</v>
      </c>
      <c r="I94" s="144">
        <v>155.54900000000001</v>
      </c>
      <c r="J94" s="144">
        <v>162.208</v>
      </c>
      <c r="K94" s="144">
        <v>169.6</v>
      </c>
      <c r="L94" s="144">
        <v>177.68</v>
      </c>
      <c r="M94" s="140">
        <f>L94+(L94*0.046)</f>
        <v>185.85328000000001</v>
      </c>
      <c r="N94" s="140">
        <f>M94+(M94*0.046)</f>
        <v>194.40253088</v>
      </c>
      <c r="O94" s="140">
        <f t="shared" ref="O94:P94" si="7">N94+(N94*0.046)</f>
        <v>203.34504730047999</v>
      </c>
      <c r="P94" s="140">
        <f t="shared" si="7"/>
        <v>212.69891947630208</v>
      </c>
      <c r="Q94" s="140">
        <f t="shared" ref="Q94" si="8">P94+(P94*0.046)</f>
        <v>222.48306977221199</v>
      </c>
      <c r="R94" s="140">
        <f t="shared" ref="R94" si="9">Q94+(Q94*0.046)</f>
        <v>232.71729098173375</v>
      </c>
      <c r="S94" s="140">
        <f t="shared" ref="S94" si="10">R94+(R94*0.046)</f>
        <v>243.4222863668935</v>
      </c>
      <c r="T94" s="140">
        <f t="shared" ref="T94" si="11">S94+(S94*0.046)</f>
        <v>254.61971153977061</v>
      </c>
      <c r="U94" s="112" t="s">
        <v>180</v>
      </c>
    </row>
    <row r="95" spans="1:21" x14ac:dyDescent="0.3">
      <c r="A95" s="238"/>
      <c r="B95" s="138" t="s">
        <v>181</v>
      </c>
      <c r="C95" s="143">
        <v>102.694</v>
      </c>
      <c r="D95" s="144">
        <v>109.283</v>
      </c>
      <c r="E95" s="144">
        <v>116.598</v>
      </c>
      <c r="F95" s="144">
        <v>120.224</v>
      </c>
      <c r="G95" s="144">
        <v>123.03400000000001</v>
      </c>
      <c r="H95" s="144">
        <v>125.36199999999999</v>
      </c>
      <c r="I95" s="144">
        <v>127.825</v>
      </c>
      <c r="J95" s="144">
        <v>130.572</v>
      </c>
      <c r="K95" s="144">
        <v>133.40199999999999</v>
      </c>
      <c r="L95" s="144">
        <v>136.36799999999999</v>
      </c>
      <c r="M95" s="141"/>
      <c r="N95" s="139"/>
      <c r="O95" s="139"/>
      <c r="P95" s="139"/>
      <c r="Q95" s="139"/>
      <c r="R95" s="139"/>
      <c r="S95" s="139"/>
      <c r="T95" s="139"/>
      <c r="U95" s="142"/>
    </row>
    <row r="96" spans="1:21" x14ac:dyDescent="0.3">
      <c r="A96" s="238"/>
      <c r="B96" s="145"/>
      <c r="C96" s="145"/>
      <c r="D96" s="145"/>
      <c r="E96" s="145"/>
      <c r="F96" s="145"/>
      <c r="G96" s="145"/>
      <c r="H96" s="145"/>
      <c r="I96" s="145"/>
      <c r="J96" s="145"/>
      <c r="K96" s="145"/>
      <c r="L96" s="145"/>
      <c r="M96" s="146"/>
      <c r="N96" s="147"/>
      <c r="O96" s="147"/>
      <c r="P96" s="147"/>
      <c r="Q96" s="147"/>
      <c r="R96" s="147"/>
      <c r="S96" s="147"/>
      <c r="T96" s="147"/>
      <c r="U96" s="156"/>
    </row>
    <row r="97" spans="1:21" x14ac:dyDescent="0.3">
      <c r="A97" s="238"/>
      <c r="B97" s="258" t="s">
        <v>182</v>
      </c>
      <c r="C97" s="238"/>
      <c r="D97" s="238"/>
      <c r="E97" s="238"/>
      <c r="F97" s="238"/>
      <c r="G97" s="238"/>
      <c r="H97" s="238"/>
      <c r="I97" s="238"/>
      <c r="J97" s="238"/>
      <c r="K97" s="238"/>
      <c r="L97" s="238"/>
      <c r="M97" s="238"/>
      <c r="N97" s="238"/>
      <c r="O97" s="238"/>
      <c r="P97" s="238"/>
      <c r="Q97" s="238"/>
      <c r="R97" s="238"/>
      <c r="S97" s="238"/>
      <c r="T97" s="238"/>
      <c r="U97" s="239"/>
    </row>
    <row r="98" spans="1:21" x14ac:dyDescent="0.3">
      <c r="A98" s="238"/>
      <c r="B98" s="125" t="s">
        <v>155</v>
      </c>
      <c r="C98" s="125"/>
      <c r="D98" s="125">
        <v>2021</v>
      </c>
      <c r="E98" s="125">
        <v>2024</v>
      </c>
      <c r="F98" s="125" t="s">
        <v>80</v>
      </c>
      <c r="G98" s="238"/>
      <c r="H98" s="238"/>
      <c r="I98" s="238"/>
      <c r="J98" s="238"/>
      <c r="K98" s="238"/>
      <c r="L98" s="238"/>
      <c r="M98" s="238"/>
      <c r="N98" s="238"/>
      <c r="O98" s="238"/>
      <c r="P98" s="238"/>
      <c r="Q98" s="238"/>
      <c r="R98" s="238"/>
      <c r="S98" s="238"/>
      <c r="T98" s="238"/>
      <c r="U98" s="239"/>
    </row>
    <row r="99" spans="1:21" x14ac:dyDescent="0.3">
      <c r="A99" s="238"/>
      <c r="B99" s="138" t="s">
        <v>183</v>
      </c>
      <c r="C99" s="138" t="s">
        <v>184</v>
      </c>
      <c r="D99" s="149">
        <v>2.3599999999999999E-4</v>
      </c>
      <c r="E99" s="279"/>
      <c r="F99" s="112" t="s">
        <v>185</v>
      </c>
      <c r="G99" s="243"/>
      <c r="H99" s="238"/>
      <c r="I99" s="238"/>
      <c r="J99" s="243"/>
      <c r="K99" s="243"/>
      <c r="L99" s="243"/>
      <c r="M99" s="238"/>
      <c r="N99" s="238"/>
      <c r="O99" s="238"/>
      <c r="P99" s="238"/>
      <c r="Q99" s="238"/>
      <c r="R99" s="238"/>
      <c r="S99" s="238"/>
      <c r="T99" s="238"/>
      <c r="U99" s="239"/>
    </row>
    <row r="100" spans="1:21" x14ac:dyDescent="0.3">
      <c r="A100" s="238"/>
      <c r="B100" s="138" t="s">
        <v>186</v>
      </c>
      <c r="C100" s="138" t="s">
        <v>184</v>
      </c>
      <c r="D100" s="5"/>
      <c r="E100" s="149">
        <v>2.6630000000000002E-4</v>
      </c>
      <c r="F100" s="148" t="s">
        <v>290</v>
      </c>
      <c r="G100" s="238"/>
      <c r="H100" s="238"/>
      <c r="I100" s="238"/>
      <c r="J100" s="238"/>
      <c r="K100" s="238"/>
      <c r="L100" s="238"/>
      <c r="M100" s="238"/>
      <c r="N100" s="238"/>
      <c r="O100" s="238"/>
      <c r="P100" s="238"/>
      <c r="Q100" s="238"/>
      <c r="R100" s="238"/>
      <c r="S100" s="238"/>
      <c r="T100" s="238"/>
      <c r="U100" s="239"/>
    </row>
    <row r="101" spans="1:21" x14ac:dyDescent="0.3">
      <c r="A101" s="238"/>
      <c r="B101" s="138"/>
      <c r="C101" s="138" t="s">
        <v>187</v>
      </c>
      <c r="D101" s="119">
        <v>1240.8499999999999</v>
      </c>
      <c r="E101" s="280"/>
      <c r="F101" s="112" t="s">
        <v>188</v>
      </c>
      <c r="G101" s="238"/>
      <c r="H101" s="238"/>
      <c r="I101" s="238"/>
      <c r="J101" s="238"/>
      <c r="K101" s="238"/>
      <c r="L101" s="238"/>
      <c r="M101" s="238"/>
      <c r="N101" s="238"/>
      <c r="O101" s="238"/>
      <c r="P101" s="238"/>
      <c r="Q101" s="238"/>
      <c r="R101" s="238"/>
      <c r="S101" s="238"/>
      <c r="T101" s="238"/>
      <c r="U101" s="239"/>
    </row>
    <row r="102" spans="1:21" x14ac:dyDescent="0.3">
      <c r="A102" s="238"/>
      <c r="B102" s="145"/>
      <c r="C102" s="145"/>
      <c r="D102" s="281"/>
      <c r="E102" s="282"/>
      <c r="F102" s="97"/>
      <c r="G102" s="238"/>
      <c r="H102" s="238"/>
      <c r="I102" s="238"/>
      <c r="J102" s="238"/>
      <c r="K102" s="238"/>
      <c r="L102" s="238"/>
      <c r="M102" s="238"/>
      <c r="N102" s="238"/>
      <c r="O102" s="238"/>
      <c r="P102" s="238"/>
      <c r="Q102" s="238"/>
      <c r="R102" s="238"/>
      <c r="S102" s="238"/>
      <c r="T102" s="238"/>
      <c r="U102" s="239"/>
    </row>
    <row r="103" spans="1:21" ht="15.75" customHeight="1" x14ac:dyDescent="0.3">
      <c r="A103" s="283"/>
      <c r="B103" s="157" t="s">
        <v>189</v>
      </c>
      <c r="C103" s="158"/>
      <c r="D103" s="284"/>
      <c r="E103" s="285"/>
      <c r="F103" s="159"/>
      <c r="G103" s="283"/>
      <c r="H103" s="283"/>
      <c r="I103" s="283"/>
      <c r="J103" s="283"/>
      <c r="K103" s="283"/>
      <c r="L103" s="283"/>
      <c r="M103" s="283"/>
      <c r="N103" s="283"/>
      <c r="O103" s="283"/>
      <c r="P103" s="283"/>
      <c r="Q103" s="283"/>
      <c r="R103" s="283"/>
      <c r="S103" s="283"/>
      <c r="T103" s="283"/>
      <c r="U103" s="286"/>
    </row>
    <row r="104" spans="1:21" ht="24" customHeight="1" x14ac:dyDescent="0.3">
      <c r="A104" s="150"/>
      <c r="B104" s="150"/>
      <c r="C104" s="150"/>
      <c r="D104" s="150"/>
      <c r="E104" s="150"/>
      <c r="F104" s="150"/>
      <c r="G104" s="150"/>
      <c r="H104" s="150"/>
      <c r="I104" s="150"/>
      <c r="J104" s="150"/>
      <c r="K104" s="150"/>
      <c r="L104" s="150"/>
      <c r="M104" s="150"/>
      <c r="N104" s="150"/>
      <c r="O104" s="150"/>
      <c r="P104" s="150"/>
      <c r="Q104" s="150"/>
      <c r="R104" s="150"/>
      <c r="S104" s="150"/>
      <c r="T104" s="150"/>
      <c r="U104" s="150"/>
    </row>
    <row r="105" spans="1:21" x14ac:dyDescent="0.3">
      <c r="A105" s="238"/>
      <c r="B105" s="238"/>
      <c r="C105" s="238"/>
      <c r="D105" s="238"/>
      <c r="E105" s="238"/>
      <c r="F105" s="238"/>
      <c r="G105" s="238"/>
      <c r="H105" s="238"/>
      <c r="I105" s="238"/>
      <c r="J105" s="238"/>
      <c r="K105" s="238"/>
      <c r="L105" s="238"/>
      <c r="M105" s="238"/>
      <c r="N105" s="238"/>
      <c r="O105" s="238"/>
      <c r="P105" s="238"/>
      <c r="Q105" s="238"/>
      <c r="R105" s="238"/>
      <c r="S105" s="238"/>
      <c r="T105" s="238"/>
      <c r="U105" s="238"/>
    </row>
    <row r="106" spans="1:21" x14ac:dyDescent="0.3">
      <c r="A106" s="238"/>
      <c r="D106" s="238"/>
      <c r="E106" s="238"/>
      <c r="F106" s="238"/>
      <c r="G106" s="238"/>
      <c r="H106" s="238"/>
      <c r="I106" s="238"/>
      <c r="J106" s="238"/>
      <c r="K106" s="238"/>
      <c r="L106" s="238"/>
      <c r="M106" s="238"/>
      <c r="N106" s="238"/>
      <c r="O106" s="238"/>
      <c r="P106" s="238"/>
      <c r="Q106" s="238"/>
      <c r="R106" s="238"/>
      <c r="S106" s="238"/>
      <c r="T106" s="238"/>
      <c r="U106" s="238"/>
    </row>
    <row r="107" spans="1:21" x14ac:dyDescent="0.3">
      <c r="A107" s="238"/>
      <c r="D107" s="238"/>
      <c r="E107" s="238"/>
      <c r="F107" s="238"/>
      <c r="G107" s="238"/>
      <c r="H107" s="238"/>
      <c r="I107" s="238"/>
      <c r="J107" s="238"/>
      <c r="K107" s="238"/>
      <c r="L107" s="238"/>
      <c r="M107" s="238"/>
      <c r="N107" s="238"/>
      <c r="O107" s="238"/>
      <c r="P107" s="238"/>
      <c r="Q107" s="238"/>
      <c r="R107" s="238"/>
      <c r="S107" s="238"/>
      <c r="T107" s="238"/>
      <c r="U107" s="238"/>
    </row>
    <row r="112" spans="1:21" x14ac:dyDescent="0.3">
      <c r="B112" s="238"/>
      <c r="D112" s="238"/>
    </row>
    <row r="113" spans="2:4" x14ac:dyDescent="0.3">
      <c r="B113" s="252"/>
      <c r="D113" s="287"/>
    </row>
  </sheetData>
  <mergeCells count="5">
    <mergeCell ref="U70:U71"/>
    <mergeCell ref="B16:E16"/>
    <mergeCell ref="E4:J4"/>
    <mergeCell ref="E5:J5"/>
    <mergeCell ref="E6:J6"/>
  </mergeCells>
  <phoneticPr fontId="28" type="noConversion"/>
  <conditionalFormatting sqref="B11:C11">
    <cfRule type="cellIs" dxfId="34" priority="13" operator="lessThan">
      <formula>0</formula>
    </cfRule>
  </conditionalFormatting>
  <conditionalFormatting sqref="B75:D75">
    <cfRule type="cellIs" dxfId="33" priority="5" operator="lessThan">
      <formula>0</formula>
    </cfRule>
  </conditionalFormatting>
  <conditionalFormatting sqref="B17:E17">
    <cfRule type="cellIs" dxfId="32" priority="12" operator="lessThan">
      <formula>0</formula>
    </cfRule>
  </conditionalFormatting>
  <conditionalFormatting sqref="B34:E34">
    <cfRule type="cellIs" dxfId="31" priority="10" operator="lessThan">
      <formula>0</formula>
    </cfRule>
  </conditionalFormatting>
  <conditionalFormatting sqref="B45:E45">
    <cfRule type="cellIs" dxfId="30" priority="8" operator="lessThan">
      <formula>0</formula>
    </cfRule>
  </conditionalFormatting>
  <conditionalFormatting sqref="B54:E54">
    <cfRule type="cellIs" dxfId="29" priority="7" operator="lessThan">
      <formula>0</formula>
    </cfRule>
  </conditionalFormatting>
  <conditionalFormatting sqref="B98:F98">
    <cfRule type="cellIs" dxfId="28" priority="1" operator="lessThan">
      <formula>0</formula>
    </cfRule>
  </conditionalFormatting>
  <conditionalFormatting sqref="B80:G80">
    <cfRule type="cellIs" dxfId="27" priority="4" operator="lessThan">
      <formula>0</formula>
    </cfRule>
  </conditionalFormatting>
  <conditionalFormatting sqref="B65:U65">
    <cfRule type="cellIs" dxfId="26" priority="6" operator="lessThan">
      <formula>0</formula>
    </cfRule>
  </conditionalFormatting>
  <conditionalFormatting sqref="B93:U93">
    <cfRule type="cellIs" dxfId="25" priority="2" operator="lessThan">
      <formula>0</formula>
    </cfRule>
  </conditionalFormatting>
  <conditionalFormatting sqref="C4:C7">
    <cfRule type="cellIs" dxfId="24" priority="18" operator="lessThan">
      <formula>0</formula>
    </cfRule>
  </conditionalFormatting>
  <conditionalFormatting sqref="C12">
    <cfRule type="cellIs" dxfId="23" priority="14" operator="lessThan">
      <formula>0</formula>
    </cfRule>
  </conditionalFormatting>
  <conditionalFormatting sqref="C38">
    <cfRule type="cellIs" dxfId="22" priority="25" operator="lessThan">
      <formula>0</formula>
    </cfRule>
  </conditionalFormatting>
  <conditionalFormatting sqref="D94:J95 N94:T96">
    <cfRule type="cellIs" dxfId="21" priority="17" operator="lessThan">
      <formula>0</formula>
    </cfRule>
  </conditionalFormatting>
  <conditionalFormatting sqref="H17:K17">
    <cfRule type="cellIs" dxfId="20" priority="11" operator="lessThan">
      <formula>0</formula>
    </cfRule>
  </conditionalFormatting>
  <conditionalFormatting sqref="H34:K34">
    <cfRule type="cellIs" dxfId="19" priority="9" operator="lessThan">
      <formula>0</formula>
    </cfRule>
  </conditionalFormatting>
  <conditionalFormatting sqref="I38:I42 D47:E47 D49:E49 D51:E51">
    <cfRule type="cellIs" dxfId="18" priority="27" operator="lessThan">
      <formula>0</formula>
    </cfRule>
  </conditionalFormatting>
  <conditionalFormatting sqref="I44:I51">
    <cfRule type="cellIs" dxfId="17" priority="22" operator="lessThan">
      <formula>0</formula>
    </cfRule>
  </conditionalFormatting>
  <conditionalFormatting sqref="I53:I61">
    <cfRule type="cellIs" dxfId="16" priority="20" operator="lessThan">
      <formula>0</formula>
    </cfRule>
  </conditionalFormatting>
  <conditionalFormatting sqref="K95:L95">
    <cfRule type="cellIs" dxfId="15" priority="15" operator="lessThan">
      <formula>0</formula>
    </cfRule>
  </conditionalFormatting>
  <conditionalFormatting sqref="K94:M94">
    <cfRule type="cellIs" dxfId="14" priority="16" operator="lessThan">
      <formula>0</formula>
    </cfRule>
  </conditionalFormatting>
  <hyperlinks>
    <hyperlink ref="U94" r:id="rId1" xr:uid="{1F9F3F52-0D43-4813-8A7E-860ADE3C0213}"/>
    <hyperlink ref="J18" r:id="rId2" xr:uid="{FB680507-0608-44FE-9E2B-D48EF32BD40F}"/>
    <hyperlink ref="D20" r:id="rId3" xr:uid="{DD70E848-B6A8-4206-8145-DFB51438E7E8}"/>
    <hyperlink ref="D30" r:id="rId4" xr:uid="{11D45459-7288-402E-8160-07CDC56FFB9B}"/>
    <hyperlink ref="F99" r:id="rId5" xr:uid="{5196E885-1ABF-433D-8E94-914470EACB58}"/>
    <hyperlink ref="F100" r:id="rId6" xr:uid="{C6137A6B-9F8E-4870-B092-52DD3891B01A}"/>
    <hyperlink ref="F101" r:id="rId7" xr:uid="{98CEAEC5-61C5-4F27-BE44-243D896CAB57}"/>
    <hyperlink ref="D76" r:id="rId8" xr:uid="{97C2EBD2-0D1C-477D-9AD4-0BDD4367750F}"/>
  </hyperlinks>
  <pageMargins left="0.7" right="0.7" top="0.75" bottom="0.75" header="0.3" footer="0.3"/>
  <pageSetup paperSize="9" orientation="portrait" horizontalDpi="1200" verticalDpi="1200" r:id="rId9"/>
  <ignoredErrors>
    <ignoredError sqref="H69:T69 H71:T71 H67:J67 K67:T67" formula="1"/>
  </ignoredErrors>
  <legacyDrawing r:id="rId1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AE64-E7BA-4BC7-8063-056CA3FE865E}">
  <dimension ref="A1:AM195"/>
  <sheetViews>
    <sheetView showGridLines="0" topLeftCell="A143" zoomScaleNormal="100" workbookViewId="0">
      <selection activeCell="F153" sqref="F153"/>
    </sheetView>
  </sheetViews>
  <sheetFormatPr defaultColWidth="11.44140625" defaultRowHeight="14.4" x14ac:dyDescent="0.3"/>
  <cols>
    <col min="1" max="1" width="4.77734375" customWidth="1"/>
    <col min="2" max="2" width="39.5546875" customWidth="1"/>
    <col min="3" max="3" width="40.44140625" customWidth="1"/>
    <col min="4" max="4" width="23.5546875" customWidth="1"/>
    <col min="5" max="5" width="27.21875" customWidth="1"/>
    <col min="6" max="6" width="36.44140625" customWidth="1"/>
    <col min="7" max="7" width="18.44140625" customWidth="1"/>
    <col min="8" max="8" width="29.21875" customWidth="1"/>
    <col min="9" max="9" width="23" customWidth="1"/>
    <col min="10" max="10" width="17.44140625" customWidth="1"/>
    <col min="11" max="11" width="16.5546875" customWidth="1"/>
    <col min="12" max="12" width="17.5546875" customWidth="1"/>
    <col min="13" max="14" width="16.44140625" customWidth="1"/>
    <col min="15" max="15" width="15.44140625" bestFit="1" customWidth="1"/>
    <col min="16" max="17" width="15.44140625" customWidth="1"/>
  </cols>
  <sheetData>
    <row r="1" spans="1:28" ht="18" x14ac:dyDescent="0.35">
      <c r="A1" s="160"/>
      <c r="B1" s="160" t="s">
        <v>190</v>
      </c>
      <c r="C1" s="63"/>
      <c r="D1" s="64"/>
      <c r="E1" s="65"/>
      <c r="F1" s="6"/>
      <c r="G1" s="6"/>
      <c r="H1" s="6"/>
      <c r="I1" s="6"/>
      <c r="J1" s="6"/>
      <c r="K1" s="6"/>
      <c r="L1" s="6"/>
      <c r="M1" s="6"/>
      <c r="N1" s="6"/>
      <c r="O1" s="6"/>
      <c r="P1" s="6"/>
      <c r="Q1" s="6"/>
      <c r="R1" s="197"/>
      <c r="S1" s="13"/>
      <c r="T1" s="13"/>
      <c r="U1" s="13"/>
      <c r="V1" s="13"/>
      <c r="W1" s="13"/>
      <c r="X1" s="13"/>
      <c r="Y1" s="13"/>
      <c r="Z1" s="13"/>
      <c r="AA1" s="13"/>
      <c r="AB1" s="13"/>
    </row>
    <row r="2" spans="1:28" ht="18" x14ac:dyDescent="0.35">
      <c r="B2" s="167"/>
      <c r="C2" s="168"/>
      <c r="D2" s="169"/>
      <c r="E2" s="170"/>
      <c r="F2" s="13"/>
      <c r="G2" s="13"/>
      <c r="H2" s="13"/>
      <c r="I2" s="13"/>
      <c r="J2" s="13"/>
      <c r="K2" s="13"/>
      <c r="L2" s="13"/>
      <c r="M2" s="13"/>
      <c r="N2" s="13"/>
      <c r="O2" s="13"/>
      <c r="P2" s="13"/>
      <c r="Q2" s="13"/>
      <c r="R2" s="197"/>
      <c r="S2" s="13"/>
      <c r="T2" s="13"/>
      <c r="U2" s="13"/>
      <c r="V2" s="13"/>
      <c r="W2" s="13"/>
      <c r="X2" s="13"/>
      <c r="Y2" s="13"/>
      <c r="Z2" s="13"/>
      <c r="AA2" s="13"/>
      <c r="AB2" s="13"/>
    </row>
    <row r="3" spans="1:28" ht="21" x14ac:dyDescent="0.4">
      <c r="B3" s="171" t="s">
        <v>191</v>
      </c>
      <c r="R3" s="9"/>
    </row>
    <row r="4" spans="1:28" s="1" customFormat="1" ht="15.6" x14ac:dyDescent="0.3">
      <c r="A4" s="288"/>
      <c r="B4" s="3" t="s">
        <v>155</v>
      </c>
      <c r="C4" s="4"/>
      <c r="D4" s="173">
        <v>2024</v>
      </c>
      <c r="E4" s="173">
        <v>2025</v>
      </c>
      <c r="F4" s="173">
        <v>2026</v>
      </c>
      <c r="G4" s="173">
        <v>2027</v>
      </c>
      <c r="H4" s="173">
        <v>2028</v>
      </c>
      <c r="I4" s="173">
        <v>2029</v>
      </c>
      <c r="J4" s="173">
        <v>2030</v>
      </c>
      <c r="K4" s="173">
        <v>2031</v>
      </c>
      <c r="L4" s="173">
        <v>2032</v>
      </c>
      <c r="M4" s="173">
        <v>2033</v>
      </c>
      <c r="N4" s="173">
        <v>2034</v>
      </c>
      <c r="O4"/>
      <c r="P4"/>
      <c r="Q4"/>
      <c r="R4" s="9"/>
      <c r="S4"/>
      <c r="T4"/>
      <c r="U4"/>
      <c r="V4"/>
      <c r="W4"/>
      <c r="X4"/>
      <c r="Y4"/>
      <c r="Z4"/>
      <c r="AA4"/>
      <c r="AB4" s="288"/>
    </row>
    <row r="5" spans="1:28" s="2" customFormat="1" x14ac:dyDescent="0.3">
      <c r="B5" s="389" t="s">
        <v>192</v>
      </c>
      <c r="C5" s="289" t="s">
        <v>193</v>
      </c>
      <c r="D5" s="290" t="s">
        <v>194</v>
      </c>
      <c r="E5" s="290">
        <f>'Model input'!C25*'Model input'!C22</f>
        <v>63.206017875000015</v>
      </c>
      <c r="F5" s="290">
        <f>'Model input'!$C$22*'Model input'!$C$26</f>
        <v>632.0601787500002</v>
      </c>
      <c r="G5" s="290">
        <f>F5+F5*'Model input'!$C$76</f>
        <v>585.91978570125025</v>
      </c>
      <c r="H5" s="290">
        <f>G5+G5*'Model input'!$C$76</f>
        <v>543.14764134505901</v>
      </c>
      <c r="I5" s="290">
        <f>H5+H5*'Model input'!$C$76</f>
        <v>503.49786352686971</v>
      </c>
      <c r="J5" s="290">
        <f>I5+I5*'Model input'!$C$76</f>
        <v>466.74251948940821</v>
      </c>
      <c r="K5" s="290">
        <f>J5+J5*'Model input'!$C$76</f>
        <v>432.67031556668144</v>
      </c>
      <c r="L5" s="290">
        <f>K5+K5*'Model input'!$C$76</f>
        <v>401.08538253031372</v>
      </c>
      <c r="M5" s="290">
        <f>L5+L5*'Model input'!$C$76</f>
        <v>371.80614960560081</v>
      </c>
      <c r="N5" s="290">
        <f>M5+M5*'Model input'!$C$76</f>
        <v>344.66430068439195</v>
      </c>
      <c r="O5"/>
      <c r="P5"/>
      <c r="Q5"/>
      <c r="R5" s="9"/>
    </row>
    <row r="6" spans="1:28" s="2" customFormat="1" ht="16.5" customHeight="1" x14ac:dyDescent="0.3">
      <c r="B6" s="389"/>
      <c r="C6" s="289" t="s">
        <v>195</v>
      </c>
      <c r="D6" s="290" t="s">
        <v>194</v>
      </c>
      <c r="E6" s="291">
        <f>'Model input'!$C$23*E5</f>
        <v>2755.7384686180771</v>
      </c>
      <c r="F6" s="291">
        <f>'Model input'!$C$23*F5</f>
        <v>27557.384686180772</v>
      </c>
      <c r="G6" s="291">
        <f>'Model input'!$C$23*G5</f>
        <v>25545.695604089578</v>
      </c>
      <c r="H6" s="291">
        <f>'Model input'!$C$23*H5</f>
        <v>23680.859824991043</v>
      </c>
      <c r="I6" s="291">
        <f>'Model input'!$C$23*I5</f>
        <v>21952.157057766697</v>
      </c>
      <c r="J6" s="291">
        <f>'Model input'!$C$23*J5</f>
        <v>20349.649592549726</v>
      </c>
      <c r="K6" s="291">
        <f>'Model input'!$C$23*K5</f>
        <v>18864.125172293599</v>
      </c>
      <c r="L6" s="291">
        <f>'Model input'!$C$23*L5</f>
        <v>17487.044034716168</v>
      </c>
      <c r="M6" s="291">
        <f>'Model input'!$C$23*M5</f>
        <v>16210.489820181885</v>
      </c>
      <c r="N6" s="291">
        <f>'Model input'!$C$23*N5</f>
        <v>15027.124063308609</v>
      </c>
      <c r="O6"/>
      <c r="P6"/>
      <c r="Q6"/>
      <c r="R6" s="9"/>
    </row>
    <row r="7" spans="1:28" s="2" customFormat="1" x14ac:dyDescent="0.3">
      <c r="B7" s="389"/>
      <c r="C7" s="289" t="s">
        <v>196</v>
      </c>
      <c r="D7" s="290" t="s">
        <v>194</v>
      </c>
      <c r="E7" s="292">
        <v>0.05</v>
      </c>
      <c r="F7" s="292">
        <v>0.05</v>
      </c>
      <c r="G7" s="292">
        <f>F7+(F7*'Model input'!$C$76)</f>
        <v>4.6350000000000002E-2</v>
      </c>
      <c r="H7" s="292">
        <f>G7+(G7*'Model input'!$C$76)</f>
        <v>4.2966450000000003E-2</v>
      </c>
      <c r="I7" s="292">
        <f>H7+(H7*'Model input'!$C$76)</f>
        <v>3.982989915E-2</v>
      </c>
      <c r="J7" s="292">
        <f>I7+(I7*'Model input'!$C$76)</f>
        <v>3.6922316512050003E-2</v>
      </c>
      <c r="K7" s="292">
        <f>J7+(J7*'Model input'!$C$76)</f>
        <v>3.4226987406670351E-2</v>
      </c>
      <c r="L7" s="292">
        <f>K7+(K7*'Model input'!$C$76)</f>
        <v>3.1728417325983416E-2</v>
      </c>
      <c r="M7" s="292">
        <f>L7+(L7*'Model input'!$C$76)</f>
        <v>2.9412242861186627E-2</v>
      </c>
      <c r="N7" s="292">
        <f>M7+(M7*'Model input'!$C$76)</f>
        <v>2.7265149132320005E-2</v>
      </c>
      <c r="O7"/>
      <c r="P7"/>
      <c r="Q7"/>
      <c r="R7" s="9"/>
    </row>
    <row r="8" spans="1:28" s="2" customFormat="1" ht="14.4" customHeight="1" x14ac:dyDescent="0.3">
      <c r="B8" s="389"/>
      <c r="C8" s="357" t="s">
        <v>197</v>
      </c>
      <c r="D8" s="290" t="s">
        <v>194</v>
      </c>
      <c r="E8" s="291">
        <f>'Model input'!$C$24*E7*'Model input'!$C$18</f>
        <v>4019.5336907207757</v>
      </c>
      <c r="F8" s="291">
        <f>'Model input'!$C$24*F7*'Model input'!$C$18</f>
        <v>4019.5336907207757</v>
      </c>
      <c r="G8" s="291">
        <f>'Model input'!$C$24*G7*'Model input'!$C$18</f>
        <v>3726.1077312981597</v>
      </c>
      <c r="H8" s="291">
        <f>'Model input'!$C$24*H7*'Model input'!$C$18</f>
        <v>3454.1018669133941</v>
      </c>
      <c r="I8" s="291">
        <f>'Model input'!$C$24*I7*'Model input'!$C$18</f>
        <v>3201.9524306287158</v>
      </c>
      <c r="J8" s="291">
        <f>'Model input'!$C$24*J7*'Model input'!$C$18</f>
        <v>2968.2099031928196</v>
      </c>
      <c r="K8" s="291">
        <f>'Model input'!$C$24*K7*'Model input'!$C$18</f>
        <v>2751.5305802597436</v>
      </c>
      <c r="L8" s="291">
        <f>'Model input'!$C$24*L7*'Model input'!$C$18</f>
        <v>2550.6688479007826</v>
      </c>
      <c r="M8" s="291">
        <f>'Model input'!$C$24*M7*'Model input'!$C$18</f>
        <v>2364.4700220040254</v>
      </c>
      <c r="N8" s="291">
        <f>'Model input'!$C$24*N7*'Model input'!$C$18</f>
        <v>2191.8637103977317</v>
      </c>
      <c r="O8"/>
      <c r="P8"/>
      <c r="Q8"/>
      <c r="R8" s="9"/>
    </row>
    <row r="9" spans="1:28" s="2" customFormat="1" x14ac:dyDescent="0.3">
      <c r="B9" s="389"/>
      <c r="C9" s="289" t="s">
        <v>198</v>
      </c>
      <c r="D9" s="290" t="s">
        <v>194</v>
      </c>
      <c r="E9" s="291">
        <f>E5*'Model input'!G67</f>
        <v>149768.39503359116</v>
      </c>
      <c r="F9" s="291">
        <f>F5*'Model input'!H67</f>
        <v>1223940.0660182505</v>
      </c>
      <c r="G9" s="291">
        <f>G5*'Model input'!I67</f>
        <v>1134592.4411989183</v>
      </c>
      <c r="H9" s="291">
        <f>H5*'Model input'!J67</f>
        <v>1051767.1929913973</v>
      </c>
      <c r="I9" s="291">
        <f>I5*'Model input'!K67</f>
        <v>974988.1879030253</v>
      </c>
      <c r="J9" s="291">
        <f>J5*'Model input'!L67</f>
        <v>903814.05018610449</v>
      </c>
      <c r="K9" s="291">
        <f>K5*'Model input'!M67</f>
        <v>837835.62452251883</v>
      </c>
      <c r="L9" s="291">
        <f>L5*'Model input'!N67</f>
        <v>776673.62393237511</v>
      </c>
      <c r="M9" s="291">
        <f>M5*'Model input'!O67</f>
        <v>719976.44938531169</v>
      </c>
      <c r="N9" s="291">
        <f>N5*'Model input'!P67</f>
        <v>667418.16858018388</v>
      </c>
      <c r="O9"/>
      <c r="P9"/>
      <c r="Q9"/>
      <c r="R9" s="9"/>
    </row>
    <row r="10" spans="1:28" s="2" customFormat="1" x14ac:dyDescent="0.3">
      <c r="B10" s="389"/>
      <c r="C10" s="289" t="s">
        <v>199</v>
      </c>
      <c r="D10" s="293" t="s">
        <v>194</v>
      </c>
      <c r="E10" s="291">
        <v>0</v>
      </c>
      <c r="F10" s="291">
        <f>'Model input'!$C$27*'Model input'!$C$29*'Model input'!H$67*('Model input'!$C$22+F5)*'Model input'!$C$28</f>
        <v>2141.8951155319387</v>
      </c>
      <c r="G10" s="291">
        <f>'Model input'!$C$27*'Model input'!$C$29*'Model input'!I$67*('Model input'!$C$22+G5)*'Model input'!$C$28</f>
        <v>2097.2213031222723</v>
      </c>
      <c r="H10" s="291">
        <f>'Model input'!$C$27*'Model input'!$C$29*'Model input'!J$67*('Model input'!$C$22+H5)*'Model input'!$C$28</f>
        <v>2055.8086790185121</v>
      </c>
      <c r="I10" s="291">
        <f>'Model input'!$C$27*'Model input'!$C$29*'Model input'!K$67*('Model input'!$C$22+I5)*'Model input'!$C$28</f>
        <v>2017.4191764743262</v>
      </c>
      <c r="J10" s="291">
        <f>'Model input'!$C$27*'Model input'!$C$29*'Model input'!L$67*('Model input'!$C$22+J5)*'Model input'!$C$28</f>
        <v>1981.8321076158654</v>
      </c>
      <c r="K10" s="291">
        <f>'Model input'!$C$27*'Model input'!$C$29*'Model input'!M$67*('Model input'!$C$22+K5)*'Model input'!$C$28</f>
        <v>1948.8428947840728</v>
      </c>
      <c r="L10" s="291">
        <f>'Model input'!$C$27*'Model input'!$C$29*'Model input'!N$67*('Model input'!$C$22+L5)*'Model input'!$C$28</f>
        <v>1918.261894489001</v>
      </c>
      <c r="M10" s="291">
        <f>'Model input'!$C$27*'Model input'!$C$29*'Model input'!O$67*('Model input'!$C$22+M5)*'Model input'!$C$28</f>
        <v>1889.9133072154691</v>
      </c>
      <c r="N10" s="291">
        <f>'Model input'!$C$27*'Model input'!$C$29*'Model input'!P$67*('Model input'!$C$22+N5)*'Model input'!$C$28</f>
        <v>1863.6341668129053</v>
      </c>
      <c r="O10"/>
      <c r="P10"/>
      <c r="Q10"/>
      <c r="R10" s="9"/>
    </row>
    <row r="11" spans="1:28" s="2" customFormat="1" x14ac:dyDescent="0.3">
      <c r="B11" s="389"/>
      <c r="C11" s="294" t="s">
        <v>200</v>
      </c>
      <c r="D11" s="295" t="s">
        <v>194</v>
      </c>
      <c r="E11" s="296">
        <f t="shared" ref="E11:N11" si="0">E9+E10-E8-E6</f>
        <v>142993.12287425232</v>
      </c>
      <c r="F11" s="296">
        <f t="shared" si="0"/>
        <v>1194505.0427568809</v>
      </c>
      <c r="G11" s="296">
        <f t="shared" si="0"/>
        <v>1107417.8591666529</v>
      </c>
      <c r="H11" s="296">
        <f t="shared" si="0"/>
        <v>1026688.0399785112</v>
      </c>
      <c r="I11" s="296">
        <f t="shared" si="0"/>
        <v>951851.49759110424</v>
      </c>
      <c r="J11" s="296">
        <f t="shared" si="0"/>
        <v>882478.02279797778</v>
      </c>
      <c r="K11" s="296">
        <f t="shared" si="0"/>
        <v>818168.81166474952</v>
      </c>
      <c r="L11" s="296">
        <f t="shared" si="0"/>
        <v>758554.17294424714</v>
      </c>
      <c r="M11" s="296">
        <f t="shared" si="0"/>
        <v>703291.40285034128</v>
      </c>
      <c r="N11" s="296">
        <f t="shared" si="0"/>
        <v>652062.81497329043</v>
      </c>
      <c r="O11"/>
      <c r="P11"/>
      <c r="Q11"/>
      <c r="R11" s="9"/>
    </row>
    <row r="12" spans="1:28" s="2" customFormat="1" x14ac:dyDescent="0.3">
      <c r="B12" s="389"/>
      <c r="C12" s="294" t="s">
        <v>201</v>
      </c>
      <c r="D12" s="295" t="s">
        <v>194</v>
      </c>
      <c r="E12" s="296">
        <f>E11/(1+'Model input'!$C$12)^(E4-2024)</f>
        <v>129993.74806750211</v>
      </c>
      <c r="F12" s="296">
        <f>F11/(1+'Model input'!$C$12)^(F4-2024)</f>
        <v>987194.25021229812</v>
      </c>
      <c r="G12" s="296">
        <f>G11/(1+'Model input'!$C$12)^(G4-2024)</f>
        <v>832019.42837464507</v>
      </c>
      <c r="H12" s="296">
        <f>H11/(1+'Model input'!$C$12)^(H4-2024)</f>
        <v>701241.74576771457</v>
      </c>
      <c r="I12" s="296">
        <f>I11/(1+'Model input'!$C$12)^(I4-2024)</f>
        <v>591024.89124010655</v>
      </c>
      <c r="J12" s="296">
        <f>J11/(1+'Model input'!$C$12)^(J4-2024)</f>
        <v>498135.83771486126</v>
      </c>
      <c r="K12" s="296">
        <f>K11/(1+'Model input'!$C$12)^(K4-2024)</f>
        <v>419849.9677889361</v>
      </c>
      <c r="L12" s="296">
        <f>L11/(1+'Model input'!$C$12)^(L4-2024)</f>
        <v>353871.11996738159</v>
      </c>
      <c r="M12" s="296">
        <f>M11/(1+'Model input'!$C$12)^(M4-2024)</f>
        <v>298264.20897067338</v>
      </c>
      <c r="N12" s="296">
        <f>N11/(1+'Model input'!$C$12)^(N4-2024)</f>
        <v>251398.44259948234</v>
      </c>
      <c r="O12"/>
      <c r="P12"/>
      <c r="Q12"/>
      <c r="R12" s="9"/>
    </row>
    <row r="13" spans="1:28" s="2" customFormat="1" x14ac:dyDescent="0.3">
      <c r="B13" s="389"/>
      <c r="C13" s="294" t="s">
        <v>202</v>
      </c>
      <c r="D13" s="295" t="s">
        <v>194</v>
      </c>
      <c r="E13" s="296">
        <f>E12/('Model input'!$F$94/'Model input'!$C$94)</f>
        <v>111591.83824251672</v>
      </c>
      <c r="F13" s="296">
        <f>F12/('Model input'!$F$94/'Model input'!$C$94)</f>
        <v>847447.07127321919</v>
      </c>
      <c r="G13" s="296">
        <f>G12/('Model input'!$F$94/'Model input'!$C$94)</f>
        <v>714238.79106556729</v>
      </c>
      <c r="H13" s="296">
        <f>H12/('Model input'!$F$94/'Model input'!$C$94)</f>
        <v>601973.99202595744</v>
      </c>
      <c r="I13" s="296">
        <f>I12/('Model input'!$F$94/'Model input'!$C$94)</f>
        <v>507359.43105755502</v>
      </c>
      <c r="J13" s="296">
        <f>J12/('Model input'!$F$94/'Model input'!$C$94)</f>
        <v>427619.74826829461</v>
      </c>
      <c r="K13" s="296">
        <f>K12/('Model input'!$F$94/'Model input'!$C$94)</f>
        <v>360416.02298673603</v>
      </c>
      <c r="L13" s="296">
        <f>L12/('Model input'!$F$94/'Model input'!$C$94)</f>
        <v>303777.13824816159</v>
      </c>
      <c r="M13" s="296">
        <f>M12/('Model input'!$F$94/'Model input'!$C$94)</f>
        <v>256041.93936853192</v>
      </c>
      <c r="N13" s="296">
        <f>N12/('Model input'!$F$94/'Model input'!$C$94)</f>
        <v>215810.4890276292</v>
      </c>
      <c r="O13"/>
      <c r="P13"/>
      <c r="Q13"/>
      <c r="R13" s="9"/>
    </row>
    <row r="14" spans="1:28" s="2" customFormat="1" ht="16.2" thickBot="1" x14ac:dyDescent="0.35">
      <c r="B14" s="389"/>
      <c r="C14" s="297" t="s">
        <v>203</v>
      </c>
      <c r="D14" s="175" t="s">
        <v>194</v>
      </c>
      <c r="E14" s="298">
        <f>E13*'Model input'!$D$99</f>
        <v>26.335673825233947</v>
      </c>
      <c r="F14" s="298">
        <f>F13*'Model input'!$D$99</f>
        <v>199.99750882047971</v>
      </c>
      <c r="G14" s="298">
        <f>G13*'Model input'!$D$99</f>
        <v>168.56035469147386</v>
      </c>
      <c r="H14" s="298">
        <f>H13*'Model input'!$D$99</f>
        <v>142.06586211812595</v>
      </c>
      <c r="I14" s="298">
        <f>I13*'Model input'!$D$99</f>
        <v>119.73682572958297</v>
      </c>
      <c r="J14" s="298">
        <f>J13*'Model input'!$D$99</f>
        <v>100.91826059131752</v>
      </c>
      <c r="K14" s="298">
        <f>K13*'Model input'!$D$99</f>
        <v>85.058181424869701</v>
      </c>
      <c r="L14" s="298">
        <f>L13*'Model input'!$D$99</f>
        <v>71.691404626566126</v>
      </c>
      <c r="M14" s="298">
        <f>M13*'Model input'!$D$99</f>
        <v>60.425897690973528</v>
      </c>
      <c r="N14" s="298">
        <f>N13*'Model input'!$D$99</f>
        <v>50.931275410520492</v>
      </c>
      <c r="O14"/>
      <c r="P14"/>
      <c r="Q14"/>
      <c r="R14" s="9"/>
      <c r="S14" s="198"/>
      <c r="T14" s="198"/>
      <c r="U14" s="198"/>
      <c r="V14" s="198"/>
      <c r="W14" s="198"/>
      <c r="X14" s="198"/>
      <c r="Y14" s="198"/>
      <c r="Z14" s="198"/>
      <c r="AA14" s="198"/>
    </row>
    <row r="15" spans="1:28" s="2" customFormat="1" x14ac:dyDescent="0.3">
      <c r="B15" s="388" t="s">
        <v>54</v>
      </c>
      <c r="C15" s="299" t="s">
        <v>204</v>
      </c>
      <c r="D15" s="300" t="s">
        <v>194</v>
      </c>
      <c r="E15" s="300" t="s">
        <v>194</v>
      </c>
      <c r="F15" s="301">
        <f>'Model input'!$C$37*'Model input'!$C$35*'Model input'!$C$41</f>
        <v>59092.72262259596</v>
      </c>
      <c r="G15" s="301">
        <f>'Model input'!$C$37*'Model input'!$C$35*'Model input'!$C$41</f>
        <v>59092.72262259596</v>
      </c>
      <c r="H15" s="301">
        <f>'Model input'!$C$37*'Model input'!$C$35*'Model input'!$C$41</f>
        <v>59092.72262259596</v>
      </c>
      <c r="I15" s="301">
        <f>'Model input'!$C$37*'Model input'!$C$35*'Model input'!$C$41</f>
        <v>59092.72262259596</v>
      </c>
      <c r="J15" s="301">
        <f>'Model input'!$C$37*'Model input'!$C$35*'Model input'!$C$41</f>
        <v>59092.72262259596</v>
      </c>
      <c r="K15" s="301">
        <f>'Model input'!$C$37*'Model input'!$C$35*'Model input'!$C$41</f>
        <v>59092.72262259596</v>
      </c>
      <c r="L15" s="301">
        <f>'Model input'!$C$37*'Model input'!$C$35*'Model input'!$C$41</f>
        <v>59092.72262259596</v>
      </c>
      <c r="M15" s="301">
        <f>'Model input'!$C$37*'Model input'!$C$35*'Model input'!$C$41</f>
        <v>59092.72262259596</v>
      </c>
      <c r="N15" s="301">
        <f>'Model input'!$C$37*'Model input'!$C$35*'Model input'!$C$41</f>
        <v>59092.72262259596</v>
      </c>
      <c r="O15"/>
      <c r="P15"/>
      <c r="Q15"/>
      <c r="R15" s="9"/>
      <c r="S15" s="199"/>
      <c r="T15" s="199"/>
      <c r="U15" s="199"/>
      <c r="V15" s="199"/>
      <c r="W15" s="199"/>
      <c r="X15" s="199"/>
      <c r="Y15" s="199"/>
      <c r="Z15" s="199"/>
      <c r="AA15" s="199"/>
    </row>
    <row r="16" spans="1:28" s="2" customFormat="1" x14ac:dyDescent="0.3">
      <c r="B16" s="389"/>
      <c r="C16" s="302" t="s">
        <v>205</v>
      </c>
      <c r="D16" s="303" t="s">
        <v>194</v>
      </c>
      <c r="E16" s="303" t="s">
        <v>194</v>
      </c>
      <c r="F16" s="304">
        <f>'Model input'!$C$40*'Model input'!$C$35*'Model input'!$C$41</f>
        <v>24860.195880130937</v>
      </c>
      <c r="G16" s="304">
        <f>'Model input'!$C$40*'Model input'!$C$35*'Model input'!$C$41</f>
        <v>24860.195880130937</v>
      </c>
      <c r="H16" s="304">
        <f>'Model input'!$C$40*'Model input'!$C$35*'Model input'!$C$41</f>
        <v>24860.195880130937</v>
      </c>
      <c r="I16" s="304">
        <f>'Model input'!$C$40*'Model input'!$C$35*'Model input'!$C$41</f>
        <v>24860.195880130937</v>
      </c>
      <c r="J16" s="304">
        <f>'Model input'!$C$40*'Model input'!$C$35*'Model input'!$C$41</f>
        <v>24860.195880130937</v>
      </c>
      <c r="K16" s="304">
        <f>'Model input'!$C$40*'Model input'!$C$35*'Model input'!$C$41</f>
        <v>24860.195880130937</v>
      </c>
      <c r="L16" s="304">
        <f>'Model input'!$C$40*'Model input'!$C$35*'Model input'!$C$41</f>
        <v>24860.195880130937</v>
      </c>
      <c r="M16" s="304">
        <f>'Model input'!$C$40*'Model input'!$C$35*'Model input'!$C$41</f>
        <v>24860.195880130937</v>
      </c>
      <c r="N16" s="304">
        <f>'Model input'!$C$40*'Model input'!$C$35*'Model input'!$C$41</f>
        <v>24860.195880130937</v>
      </c>
      <c r="O16"/>
      <c r="P16"/>
      <c r="Q16"/>
      <c r="R16" s="9"/>
      <c r="S16" s="199"/>
      <c r="T16" s="199"/>
      <c r="U16" s="199"/>
      <c r="V16" s="199"/>
      <c r="W16" s="199"/>
      <c r="X16" s="199"/>
      <c r="Y16" s="199"/>
      <c r="Z16" s="199"/>
      <c r="AA16" s="199"/>
    </row>
    <row r="17" spans="2:28" s="2" customFormat="1" x14ac:dyDescent="0.3">
      <c r="B17" s="389"/>
      <c r="C17" s="302" t="s">
        <v>206</v>
      </c>
      <c r="D17" s="305" t="s">
        <v>194</v>
      </c>
      <c r="E17" s="305" t="s">
        <v>194</v>
      </c>
      <c r="F17" s="304">
        <f t="shared" ref="F17:N17" si="1">F15-F16</f>
        <v>34232.526742465023</v>
      </c>
      <c r="G17" s="304">
        <f t="shared" si="1"/>
        <v>34232.526742465023</v>
      </c>
      <c r="H17" s="304">
        <f t="shared" si="1"/>
        <v>34232.526742465023</v>
      </c>
      <c r="I17" s="304">
        <f t="shared" si="1"/>
        <v>34232.526742465023</v>
      </c>
      <c r="J17" s="304">
        <f t="shared" si="1"/>
        <v>34232.526742465023</v>
      </c>
      <c r="K17" s="304">
        <f t="shared" si="1"/>
        <v>34232.526742465023</v>
      </c>
      <c r="L17" s="304">
        <f t="shared" si="1"/>
        <v>34232.526742465023</v>
      </c>
      <c r="M17" s="304">
        <f t="shared" si="1"/>
        <v>34232.526742465023</v>
      </c>
      <c r="N17" s="304">
        <f t="shared" si="1"/>
        <v>34232.526742465023</v>
      </c>
      <c r="O17"/>
      <c r="P17"/>
      <c r="Q17"/>
      <c r="R17" s="9"/>
      <c r="S17" s="199"/>
      <c r="T17" s="199"/>
      <c r="U17" s="199"/>
      <c r="V17" s="199"/>
      <c r="W17" s="199"/>
      <c r="X17" s="199"/>
      <c r="Y17" s="199"/>
      <c r="Z17" s="199"/>
      <c r="AA17" s="199"/>
    </row>
    <row r="18" spans="2:28" s="2" customFormat="1" x14ac:dyDescent="0.3">
      <c r="B18" s="389"/>
      <c r="C18" s="302" t="s">
        <v>207</v>
      </c>
      <c r="D18" s="305" t="s">
        <v>194</v>
      </c>
      <c r="E18" s="305" t="s">
        <v>194</v>
      </c>
      <c r="F18" s="304">
        <f>'Model input'!$C$42*'Model input'!$C$35*'Model input'!$C$41</f>
        <v>33555.427374661209</v>
      </c>
      <c r="G18" s="304">
        <f>'Model input'!$C$42*'Model input'!$C$35*'Model input'!$C$41</f>
        <v>33555.427374661209</v>
      </c>
      <c r="H18" s="304">
        <f>'Model input'!$C$42*'Model input'!$C$35*'Model input'!$C$41</f>
        <v>33555.427374661209</v>
      </c>
      <c r="I18" s="304">
        <f>'Model input'!$C$42*'Model input'!$C$35*'Model input'!$C$41</f>
        <v>33555.427374661209</v>
      </c>
      <c r="J18" s="304">
        <f>'Model input'!$C$42*'Model input'!$C$35*'Model input'!$C$41</f>
        <v>33555.427374661209</v>
      </c>
      <c r="K18" s="304">
        <f>'Model input'!$C$42*'Model input'!$C$35*'Model input'!$C$41</f>
        <v>33555.427374661209</v>
      </c>
      <c r="L18" s="304">
        <f>'Model input'!$C$42*'Model input'!$C$35*'Model input'!$C$41</f>
        <v>33555.427374661209</v>
      </c>
      <c r="M18" s="304">
        <f>'Model input'!$C$42*'Model input'!$C$35*'Model input'!$C$41</f>
        <v>33555.427374661209</v>
      </c>
      <c r="N18" s="304">
        <f>'Model input'!$C$42*'Model input'!$C$35*'Model input'!$C$41</f>
        <v>33555.427374661209</v>
      </c>
      <c r="O18"/>
      <c r="P18"/>
      <c r="Q18"/>
      <c r="R18" s="9"/>
      <c r="S18" s="199"/>
      <c r="T18" s="199"/>
      <c r="U18" s="199"/>
      <c r="V18" s="199"/>
      <c r="W18" s="199"/>
      <c r="X18" s="199"/>
      <c r="Y18" s="199"/>
      <c r="Z18" s="199"/>
      <c r="AA18" s="199"/>
    </row>
    <row r="19" spans="2:28" s="2" customFormat="1" x14ac:dyDescent="0.3">
      <c r="B19" s="389"/>
      <c r="C19" s="294" t="s">
        <v>200</v>
      </c>
      <c r="D19" s="306" t="s">
        <v>194</v>
      </c>
      <c r="E19" s="307">
        <v>0</v>
      </c>
      <c r="F19" s="308">
        <f t="shared" ref="F19:N19" si="2">F17-F18</f>
        <v>677.09936780381395</v>
      </c>
      <c r="G19" s="308">
        <f t="shared" si="2"/>
        <v>677.09936780381395</v>
      </c>
      <c r="H19" s="308">
        <f t="shared" si="2"/>
        <v>677.09936780381395</v>
      </c>
      <c r="I19" s="308">
        <f t="shared" si="2"/>
        <v>677.09936780381395</v>
      </c>
      <c r="J19" s="308">
        <f t="shared" si="2"/>
        <v>677.09936780381395</v>
      </c>
      <c r="K19" s="308">
        <f t="shared" si="2"/>
        <v>677.09936780381395</v>
      </c>
      <c r="L19" s="308">
        <f t="shared" si="2"/>
        <v>677.09936780381395</v>
      </c>
      <c r="M19" s="308">
        <f t="shared" si="2"/>
        <v>677.09936780381395</v>
      </c>
      <c r="N19" s="308">
        <f t="shared" si="2"/>
        <v>677.09936780381395</v>
      </c>
      <c r="O19"/>
      <c r="P19"/>
      <c r="Q19"/>
      <c r="R19" s="9"/>
      <c r="S19" s="199"/>
      <c r="T19" s="199"/>
      <c r="U19" s="199"/>
      <c r="V19" s="199"/>
      <c r="W19" s="199"/>
      <c r="X19" s="199"/>
      <c r="Y19" s="199"/>
      <c r="Z19" s="199"/>
      <c r="AA19" s="199"/>
    </row>
    <row r="20" spans="2:28" s="2" customFormat="1" x14ac:dyDescent="0.3">
      <c r="B20" s="389"/>
      <c r="C20" s="358" t="s">
        <v>201</v>
      </c>
      <c r="D20" s="295" t="s">
        <v>194</v>
      </c>
      <c r="E20" s="296">
        <v>0</v>
      </c>
      <c r="F20" s="296">
        <f>F19/(1+'Model input'!$C$12)^(F4-2024)</f>
        <v>559.58625438331728</v>
      </c>
      <c r="G20" s="296">
        <f>G19/(1+'Model input'!$C$12)^(G4-2024)</f>
        <v>508.71477671210647</v>
      </c>
      <c r="H20" s="296">
        <f>H19/(1+'Model input'!$C$12)^(H4-2024)</f>
        <v>462.46797882918776</v>
      </c>
      <c r="I20" s="296">
        <f>I19/(1+'Model input'!$C$12)^(I4-2024)</f>
        <v>420.42543529926155</v>
      </c>
      <c r="J20" s="296">
        <f>J19/(1+'Model input'!$C$12)^(J4-2024)</f>
        <v>382.20494118114681</v>
      </c>
      <c r="K20" s="296">
        <f>K19/(1+'Model input'!$C$12)^(K4-2024)</f>
        <v>347.45903743740615</v>
      </c>
      <c r="L20" s="296">
        <f>L19/(1+'Model input'!$C$12)^(L4-2024)</f>
        <v>315.87185221582382</v>
      </c>
      <c r="M20" s="296">
        <f>M19/(1+'Model input'!$C$12)^(M4-2024)</f>
        <v>287.15622928711252</v>
      </c>
      <c r="N20" s="296">
        <f>N19/(1+'Model input'!$C$12)^(N4-2024)</f>
        <v>261.05111753373865</v>
      </c>
      <c r="O20"/>
      <c r="P20"/>
      <c r="Q20"/>
      <c r="R20" s="9"/>
      <c r="S20" s="199"/>
      <c r="T20" s="199"/>
      <c r="U20" s="199"/>
      <c r="V20" s="199"/>
      <c r="W20" s="199"/>
      <c r="X20" s="199"/>
      <c r="Y20" s="199"/>
      <c r="Z20" s="199"/>
      <c r="AA20" s="199"/>
    </row>
    <row r="21" spans="2:28" s="2" customFormat="1" x14ac:dyDescent="0.3">
      <c r="B21" s="389"/>
      <c r="C21" s="294" t="s">
        <v>202</v>
      </c>
      <c r="D21" s="295" t="s">
        <v>194</v>
      </c>
      <c r="E21" s="296">
        <v>0</v>
      </c>
      <c r="F21" s="296">
        <f>F20/('Model input'!$F$94/'Model input'!$C$94)</f>
        <v>480.37124638834848</v>
      </c>
      <c r="G21" s="296">
        <f>G20/('Model input'!$F$94/'Model input'!$C$94)</f>
        <v>436.70113308031671</v>
      </c>
      <c r="H21" s="296">
        <f>H20/('Model input'!$F$94/'Model input'!$C$94)</f>
        <v>397.00103007301522</v>
      </c>
      <c r="I21" s="296">
        <f>I20/('Model input'!$F$94/'Model input'!$C$94)</f>
        <v>360.91002733910472</v>
      </c>
      <c r="J21" s="296">
        <f>J20/('Model input'!$F$94/'Model input'!$C$94)</f>
        <v>328.1000248537315</v>
      </c>
      <c r="K21" s="296">
        <f>K20/('Model input'!$F$94/'Model input'!$C$94)</f>
        <v>298.27274986702861</v>
      </c>
      <c r="L21" s="296">
        <f>L20/('Model input'!$F$94/'Model input'!$C$94)</f>
        <v>271.15704533366244</v>
      </c>
      <c r="M21" s="296">
        <f>M20/('Model input'!$F$94/'Model input'!$C$94)</f>
        <v>246.50640484878397</v>
      </c>
      <c r="N21" s="296">
        <f>N20/('Model input'!$F$94/'Model input'!$C$94)</f>
        <v>224.09673168071271</v>
      </c>
      <c r="O21"/>
      <c r="P21"/>
      <c r="Q21"/>
      <c r="R21" s="9"/>
      <c r="S21" s="199"/>
      <c r="T21" s="199"/>
      <c r="U21" s="199"/>
      <c r="V21" s="199"/>
      <c r="W21" s="199"/>
      <c r="X21" s="199"/>
      <c r="Y21" s="199"/>
      <c r="Z21" s="199"/>
      <c r="AA21" s="199"/>
    </row>
    <row r="22" spans="2:28" s="2" customFormat="1" ht="15" thickBot="1" x14ac:dyDescent="0.35">
      <c r="B22" s="390"/>
      <c r="C22" s="309" t="s">
        <v>203</v>
      </c>
      <c r="D22" s="174" t="s">
        <v>194</v>
      </c>
      <c r="E22" s="310">
        <v>0</v>
      </c>
      <c r="F22" s="311">
        <f>F21*'Model input'!$D$99</f>
        <v>0.11336761414765023</v>
      </c>
      <c r="G22" s="311">
        <f>G21*'Model input'!$D$99</f>
        <v>0.10306146740695474</v>
      </c>
      <c r="H22" s="311">
        <f>H21*'Model input'!$D$99</f>
        <v>9.3692243097231592E-2</v>
      </c>
      <c r="I22" s="311">
        <f>I21*'Model input'!$D$99</f>
        <v>8.5174766452028705E-2</v>
      </c>
      <c r="J22" s="311">
        <f>J21*'Model input'!$D$99</f>
        <v>7.7431605865480632E-2</v>
      </c>
      <c r="K22" s="311">
        <f>K21*'Model input'!$D$99</f>
        <v>7.0392368968618751E-2</v>
      </c>
      <c r="L22" s="311">
        <f>L21*'Model input'!$D$99</f>
        <v>6.399306269874433E-2</v>
      </c>
      <c r="M22" s="311">
        <f>M21*'Model input'!$D$99</f>
        <v>5.8175511544313017E-2</v>
      </c>
      <c r="N22" s="311">
        <f>N21*'Model input'!$D$99</f>
        <v>5.28868286766482E-2</v>
      </c>
      <c r="O22"/>
      <c r="P22"/>
      <c r="Q22"/>
      <c r="R22" s="9"/>
      <c r="S22" s="200"/>
      <c r="T22" s="200"/>
      <c r="U22" s="200"/>
      <c r="V22" s="200"/>
      <c r="W22" s="200"/>
      <c r="X22" s="200"/>
      <c r="Y22" s="200"/>
      <c r="Z22" s="200"/>
      <c r="AA22" s="200"/>
    </row>
    <row r="23" spans="2:28" s="2" customFormat="1" x14ac:dyDescent="0.3">
      <c r="B23" s="391" t="s">
        <v>55</v>
      </c>
      <c r="C23" s="312" t="s">
        <v>208</v>
      </c>
      <c r="D23" s="313" t="s">
        <v>194</v>
      </c>
      <c r="E23" s="313" t="s">
        <v>194</v>
      </c>
      <c r="F23" s="314">
        <v>0</v>
      </c>
      <c r="G23" s="314">
        <v>0</v>
      </c>
      <c r="H23" s="314">
        <v>0</v>
      </c>
      <c r="I23" s="314">
        <v>7</v>
      </c>
      <c r="J23" s="314">
        <v>15</v>
      </c>
      <c r="K23" s="314">
        <v>21</v>
      </c>
      <c r="L23" s="314">
        <v>26</v>
      </c>
      <c r="M23" s="314">
        <v>29</v>
      </c>
      <c r="N23" s="314">
        <v>32</v>
      </c>
      <c r="O23"/>
      <c r="P23"/>
      <c r="Q23"/>
      <c r="R23" s="9"/>
    </row>
    <row r="24" spans="2:28" s="2" customFormat="1" x14ac:dyDescent="0.3">
      <c r="B24" s="391"/>
      <c r="C24" s="312" t="s">
        <v>209</v>
      </c>
      <c r="D24" s="313"/>
      <c r="E24" s="313" t="s">
        <v>194</v>
      </c>
      <c r="F24" s="315">
        <f>'Model input'!C46*'Model input'!C48</f>
        <v>0.35000000000000003</v>
      </c>
      <c r="G24" s="315">
        <f>SROI!F24*'Model input'!C47</f>
        <v>0.1225</v>
      </c>
      <c r="H24" s="315">
        <f>G24</f>
        <v>0.1225</v>
      </c>
      <c r="I24" s="315">
        <f t="shared" ref="I24:N24" si="3">H24</f>
        <v>0.1225</v>
      </c>
      <c r="J24" s="315">
        <f t="shared" si="3"/>
        <v>0.1225</v>
      </c>
      <c r="K24" s="315">
        <f t="shared" si="3"/>
        <v>0.1225</v>
      </c>
      <c r="L24" s="315">
        <f t="shared" si="3"/>
        <v>0.1225</v>
      </c>
      <c r="M24" s="315">
        <f t="shared" si="3"/>
        <v>0.1225</v>
      </c>
      <c r="N24" s="315">
        <f t="shared" si="3"/>
        <v>0.1225</v>
      </c>
      <c r="O24"/>
      <c r="P24"/>
      <c r="Q24"/>
      <c r="R24" s="9"/>
    </row>
    <row r="25" spans="2:28" s="1" customFormat="1" x14ac:dyDescent="0.3">
      <c r="B25" s="391"/>
      <c r="C25" s="289" t="s">
        <v>210</v>
      </c>
      <c r="D25" s="316" t="s">
        <v>194</v>
      </c>
      <c r="E25" s="316" t="s">
        <v>194</v>
      </c>
      <c r="F25" s="291">
        <f>F23*'Model input'!G$73*F24</f>
        <v>0</v>
      </c>
      <c r="G25" s="291">
        <f>G23*'Model input'!H$73*G24</f>
        <v>0</v>
      </c>
      <c r="H25" s="291">
        <f>H23*'Model input'!I$73*H24</f>
        <v>0</v>
      </c>
      <c r="I25" s="291">
        <f>I23*'Model input'!J$73*I24</f>
        <v>3430</v>
      </c>
      <c r="J25" s="291">
        <f>J23*'Model input'!K$73*J24</f>
        <v>7350</v>
      </c>
      <c r="K25" s="291">
        <f>K23*'Model input'!L$73*K24</f>
        <v>10290</v>
      </c>
      <c r="L25" s="291">
        <f>L23*'Model input'!M$73*L24</f>
        <v>12740</v>
      </c>
      <c r="M25" s="291">
        <f>M23*'Model input'!N$73*M24</f>
        <v>14210</v>
      </c>
      <c r="N25" s="291">
        <f>N23*'Model input'!O$73*N24</f>
        <v>15680</v>
      </c>
      <c r="O25"/>
      <c r="P25"/>
      <c r="Q25"/>
      <c r="R25" s="9"/>
      <c r="S25" s="288"/>
      <c r="T25" s="288"/>
      <c r="U25" s="288"/>
      <c r="V25" s="288"/>
      <c r="W25" s="288"/>
      <c r="X25" s="288"/>
      <c r="Y25" s="288"/>
      <c r="Z25" s="288"/>
      <c r="AA25" s="288"/>
      <c r="AB25" s="288"/>
    </row>
    <row r="26" spans="2:28" s="1" customFormat="1" x14ac:dyDescent="0.3">
      <c r="B26" s="391"/>
      <c r="C26" s="289" t="s">
        <v>211</v>
      </c>
      <c r="D26" s="290" t="s">
        <v>194</v>
      </c>
      <c r="E26" s="290" t="s">
        <v>194</v>
      </c>
      <c r="F26" s="317">
        <f>0.1*'Model input'!$C$46*'Model input'!$C$48</f>
        <v>3.5000000000000003E-2</v>
      </c>
      <c r="G26" s="318">
        <f>0.1*'Model input'!$C$46*'Model input'!$C$48*'Model input'!$C$47</f>
        <v>1.225E-2</v>
      </c>
      <c r="H26" s="318">
        <f>0.1*'Model input'!$C$46*'Model input'!$C$48*'Model input'!$C$47</f>
        <v>1.225E-2</v>
      </c>
      <c r="I26" s="318">
        <f>0.1*'Model input'!$C$46*'Model input'!$C$48*'Model input'!$C$47</f>
        <v>1.225E-2</v>
      </c>
      <c r="J26" s="318">
        <f>0.3*'Model input'!$C$46*'Model input'!$C$48*'Model input'!$C$47</f>
        <v>3.6749999999999998E-2</v>
      </c>
      <c r="K26" s="318">
        <f>0.3*'Model input'!$C$46*'Model input'!$C$48*'Model input'!$C$47</f>
        <v>3.6749999999999998E-2</v>
      </c>
      <c r="L26" s="318">
        <f>0.3*'Model input'!$C$46*'Model input'!$C$48*'Model input'!$C$47</f>
        <v>3.6749999999999998E-2</v>
      </c>
      <c r="M26" s="318">
        <f>0.3*'Model input'!$C$46*'Model input'!$C$48*'Model input'!$C$47</f>
        <v>3.6749999999999998E-2</v>
      </c>
      <c r="N26" s="318">
        <f>0.3*'Model input'!$C$46*'Model input'!$C$48*'Model input'!$C$47</f>
        <v>3.6749999999999998E-2</v>
      </c>
      <c r="O26"/>
      <c r="P26"/>
      <c r="Q26"/>
      <c r="R26" s="9"/>
      <c r="S26" s="288"/>
      <c r="T26" s="288"/>
      <c r="U26" s="288"/>
      <c r="V26" s="288"/>
      <c r="W26" s="288"/>
      <c r="X26" s="288"/>
      <c r="Y26" s="288"/>
      <c r="Z26" s="288"/>
      <c r="AA26" s="288"/>
      <c r="AB26" s="288"/>
    </row>
    <row r="27" spans="2:28" s="1" customFormat="1" x14ac:dyDescent="0.3">
      <c r="B27" s="391"/>
      <c r="C27" s="289" t="s">
        <v>197</v>
      </c>
      <c r="D27" s="290" t="s">
        <v>194</v>
      </c>
      <c r="E27" s="290" t="s">
        <v>194</v>
      </c>
      <c r="F27" s="291">
        <f>'Model input'!$C$51*F26</f>
        <v>77.000000000000014</v>
      </c>
      <c r="G27" s="291">
        <f>'Model input'!$C$51*G26</f>
        <v>26.95</v>
      </c>
      <c r="H27" s="291">
        <f>'Model input'!$C$51*H26</f>
        <v>26.95</v>
      </c>
      <c r="I27" s="291">
        <f>'Model input'!$C$51*I26</f>
        <v>26.95</v>
      </c>
      <c r="J27" s="291">
        <f>'Model input'!$C$51*J26</f>
        <v>80.849999999999994</v>
      </c>
      <c r="K27" s="291">
        <f>'Model input'!$C$51*K26</f>
        <v>80.849999999999994</v>
      </c>
      <c r="L27" s="291">
        <f>'Model input'!$C$51*L26</f>
        <v>80.849999999999994</v>
      </c>
      <c r="M27" s="291">
        <f>'Model input'!$C$51*M26</f>
        <v>80.849999999999994</v>
      </c>
      <c r="N27" s="291">
        <f>'Model input'!$C$51*N26</f>
        <v>80.849999999999994</v>
      </c>
      <c r="O27"/>
      <c r="P27"/>
      <c r="Q27"/>
      <c r="R27" s="9"/>
      <c r="S27" s="288"/>
      <c r="T27" s="288"/>
      <c r="U27" s="288"/>
      <c r="V27" s="288"/>
      <c r="W27" s="288"/>
      <c r="X27" s="288"/>
      <c r="Y27" s="288"/>
      <c r="Z27" s="288"/>
      <c r="AA27" s="288"/>
      <c r="AB27" s="288"/>
    </row>
    <row r="28" spans="2:28" s="1" customFormat="1" x14ac:dyDescent="0.3">
      <c r="B28" s="391"/>
      <c r="C28" s="289" t="s">
        <v>212</v>
      </c>
      <c r="D28" s="290" t="s">
        <v>194</v>
      </c>
      <c r="E28" s="290" t="s">
        <v>194</v>
      </c>
      <c r="F28" s="291">
        <f>F27+('Model input'!$C$49*'Model input'!$C$46*'Model input'!$C$48)</f>
        <v>3577</v>
      </c>
      <c r="G28" s="291">
        <f>G27+('Model input'!$C$48*'Model input'!$C$50*'Model input'!$C$47*'Model input'!$C$46)</f>
        <v>590.45000000000005</v>
      </c>
      <c r="H28" s="291">
        <f>H27+('Model input'!$C$48*'Model input'!$C$50*'Model input'!$C$47*'Model input'!$C$46)</f>
        <v>590.45000000000005</v>
      </c>
      <c r="I28" s="291">
        <f>I27+('Model input'!$C$48*'Model input'!$C$50*'Model input'!$C$47*'Model input'!$C$46)</f>
        <v>590.45000000000005</v>
      </c>
      <c r="J28" s="291">
        <f>J27+('Model input'!$C$48*'Model input'!$C$50*'Model input'!$C$47*'Model input'!$C$46)</f>
        <v>644.35</v>
      </c>
      <c r="K28" s="291">
        <f>K27+('Model input'!$C$48*'Model input'!$C$50*'Model input'!$C$47*'Model input'!$C$46)</f>
        <v>644.35</v>
      </c>
      <c r="L28" s="291">
        <f>L27+('Model input'!$C$48*'Model input'!$C$50*'Model input'!$C$47*'Model input'!$C$46)</f>
        <v>644.35</v>
      </c>
      <c r="M28" s="304">
        <f>M27</f>
        <v>80.849999999999994</v>
      </c>
      <c r="N28" s="291">
        <f>N27</f>
        <v>80.849999999999994</v>
      </c>
      <c r="O28"/>
      <c r="P28"/>
      <c r="Q28"/>
      <c r="R28" s="9"/>
      <c r="S28" s="288"/>
      <c r="T28" s="288"/>
      <c r="U28" s="288"/>
      <c r="V28" s="288"/>
      <c r="W28" s="288"/>
      <c r="X28" s="288"/>
      <c r="Y28" s="288"/>
      <c r="Z28" s="288"/>
      <c r="AA28" s="288"/>
      <c r="AB28" s="288"/>
    </row>
    <row r="29" spans="2:28" s="1" customFormat="1" x14ac:dyDescent="0.3">
      <c r="B29" s="391"/>
      <c r="C29" s="294" t="s">
        <v>200</v>
      </c>
      <c r="D29" s="295" t="s">
        <v>194</v>
      </c>
      <c r="E29" s="296">
        <v>0</v>
      </c>
      <c r="F29" s="296">
        <f t="shared" ref="F29:N29" si="4">F25-F28</f>
        <v>-3577</v>
      </c>
      <c r="G29" s="296">
        <f t="shared" si="4"/>
        <v>-590.45000000000005</v>
      </c>
      <c r="H29" s="296">
        <f t="shared" si="4"/>
        <v>-590.45000000000005</v>
      </c>
      <c r="I29" s="296">
        <f t="shared" si="4"/>
        <v>2839.55</v>
      </c>
      <c r="J29" s="296">
        <f t="shared" si="4"/>
        <v>6705.65</v>
      </c>
      <c r="K29" s="296">
        <f t="shared" si="4"/>
        <v>9645.65</v>
      </c>
      <c r="L29" s="296">
        <f t="shared" si="4"/>
        <v>12095.65</v>
      </c>
      <c r="M29" s="296">
        <f t="shared" si="4"/>
        <v>14129.15</v>
      </c>
      <c r="N29" s="296">
        <f t="shared" si="4"/>
        <v>15599.15</v>
      </c>
      <c r="O29"/>
      <c r="P29"/>
      <c r="Q29"/>
      <c r="R29" s="9"/>
      <c r="S29" s="288"/>
      <c r="T29" s="288"/>
      <c r="U29" s="288"/>
      <c r="V29" s="288"/>
      <c r="W29" s="288"/>
      <c r="X29" s="288"/>
      <c r="Y29" s="288"/>
      <c r="Z29" s="288"/>
      <c r="AA29" s="288"/>
      <c r="AB29" s="288"/>
    </row>
    <row r="30" spans="2:28" s="1" customFormat="1" x14ac:dyDescent="0.3">
      <c r="B30" s="391"/>
      <c r="C30" s="294" t="s">
        <v>201</v>
      </c>
      <c r="D30" s="295" t="s">
        <v>194</v>
      </c>
      <c r="E30" s="296">
        <v>0</v>
      </c>
      <c r="F30" s="296">
        <f>F29/(1+'Model input'!$C$12)^(F4-2024)</f>
        <v>-2956.1983471074377</v>
      </c>
      <c r="G30" s="296">
        <f>G29/(1+'Model input'!$C$12)^(G4-2024)</f>
        <v>-443.61382419233649</v>
      </c>
      <c r="H30" s="296">
        <f>H29/(1+'Model input'!$C$12)^(H4-2024)</f>
        <v>-403.2852947203059</v>
      </c>
      <c r="I30" s="296">
        <f>I29/(1+'Model input'!$C$12)^(I4-2024)</f>
        <v>1763.1371428926236</v>
      </c>
      <c r="J30" s="296">
        <f>J29/(1+'Model input'!$C$12)^(J4-2024)</f>
        <v>3785.1646090651107</v>
      </c>
      <c r="K30" s="296">
        <f>K29/(1+'Model input'!$C$12)^(K4-2024)</f>
        <v>4949.7436031120133</v>
      </c>
      <c r="L30" s="296">
        <f>L29/(1+'Model input'!$C$12)^(L4-2024)</f>
        <v>5642.7099934338585</v>
      </c>
      <c r="M30" s="296">
        <f>M29/(1+'Model input'!$C$12)^(M4-2024)</f>
        <v>5992.1388646275918</v>
      </c>
      <c r="N30" s="296">
        <f>N29/(1+'Model input'!$C$12)^(N4-2024)</f>
        <v>6014.1476033046756</v>
      </c>
      <c r="O30"/>
      <c r="P30"/>
      <c r="Q30"/>
      <c r="R30" s="9"/>
      <c r="S30" s="288"/>
      <c r="T30" s="288"/>
      <c r="U30" s="288"/>
      <c r="V30" s="288"/>
      <c r="W30" s="288"/>
      <c r="X30" s="288"/>
      <c r="Y30" s="288"/>
      <c r="Z30" s="288"/>
      <c r="AA30" s="288"/>
      <c r="AB30" s="288"/>
    </row>
    <row r="31" spans="2:28" s="1" customFormat="1" x14ac:dyDescent="0.3">
      <c r="B31" s="391"/>
      <c r="C31" s="294" t="s">
        <v>202</v>
      </c>
      <c r="D31" s="295" t="s">
        <v>194</v>
      </c>
      <c r="E31" s="296">
        <v>0</v>
      </c>
      <c r="F31" s="296">
        <f>F30/('Model input'!$F$94/'Model input'!$C$94)</f>
        <v>-2537.7190262404552</v>
      </c>
      <c r="G31" s="296">
        <f>G30/('Model input'!$F$94/'Model input'!$C$94)</f>
        <v>-380.8158688193958</v>
      </c>
      <c r="H31" s="296">
        <f>H30/('Model input'!$F$94/'Model input'!$C$94)</f>
        <v>-346.19624438126891</v>
      </c>
      <c r="I31" s="296">
        <f>I30/('Model input'!$F$94/'Model input'!$C$94)</f>
        <v>1513.5475188151288</v>
      </c>
      <c r="J31" s="296">
        <f>J30/('Model input'!$F$94/'Model input'!$C$94)</f>
        <v>3249.3368570060447</v>
      </c>
      <c r="K31" s="296">
        <f>K30/('Model input'!$F$94/'Model input'!$C$94)</f>
        <v>4249.0580948061233</v>
      </c>
      <c r="L31" s="296">
        <f>L30/('Model input'!$F$94/'Model input'!$C$94)</f>
        <v>4843.9281903751889</v>
      </c>
      <c r="M31" s="296">
        <f>M30/('Model input'!$F$94/'Model input'!$C$94)</f>
        <v>5143.8919244100607</v>
      </c>
      <c r="N31" s="296">
        <f>N30/('Model input'!$F$94/'Model input'!$C$94)</f>
        <v>5162.7851069121889</v>
      </c>
      <c r="O31"/>
      <c r="P31"/>
      <c r="Q31"/>
      <c r="R31" s="9"/>
      <c r="S31" s="288"/>
      <c r="T31" s="288"/>
      <c r="U31" s="288"/>
      <c r="V31" s="288"/>
      <c r="W31" s="288"/>
      <c r="X31" s="288"/>
      <c r="Y31" s="288"/>
      <c r="Z31" s="288"/>
      <c r="AA31" s="288"/>
      <c r="AB31" s="288"/>
    </row>
    <row r="32" spans="2:28" s="1" customFormat="1" ht="15" thickBot="1" x14ac:dyDescent="0.35">
      <c r="B32" s="391"/>
      <c r="C32" s="309" t="s">
        <v>203</v>
      </c>
      <c r="D32" s="295" t="s">
        <v>194</v>
      </c>
      <c r="E32" s="311">
        <v>0</v>
      </c>
      <c r="F32" s="311">
        <f>F31*'Model input'!$D$99</f>
        <v>-0.59890169019274742</v>
      </c>
      <c r="G32" s="311">
        <f>G31*'Model input'!$D$99</f>
        <v>-8.98725450413774E-2</v>
      </c>
      <c r="H32" s="311">
        <f>H31*'Model input'!$D$99</f>
        <v>-8.1702313673979454E-2</v>
      </c>
      <c r="I32" s="311">
        <f>I31*'Model input'!$D$99</f>
        <v>0.35719721444037039</v>
      </c>
      <c r="J32" s="311">
        <f>J31*'Model input'!$D$99</f>
        <v>0.76684349825342657</v>
      </c>
      <c r="K32" s="311">
        <f>K31*'Model input'!$D$99</f>
        <v>1.002777710374245</v>
      </c>
      <c r="L32" s="311">
        <f>L31*'Model input'!$D$99</f>
        <v>1.1431670529285445</v>
      </c>
      <c r="M32" s="311">
        <f>M31*'Model input'!$D$99</f>
        <v>1.2139584941607742</v>
      </c>
      <c r="N32" s="311">
        <f>N31*'Model input'!$D$99</f>
        <v>1.2184172852312765</v>
      </c>
      <c r="O32"/>
      <c r="P32"/>
      <c r="Q32"/>
      <c r="R32" s="9"/>
      <c r="S32" s="288"/>
      <c r="T32" s="288"/>
      <c r="U32" s="288"/>
      <c r="V32" s="288"/>
      <c r="W32" s="288"/>
      <c r="X32" s="288"/>
      <c r="Y32" s="288"/>
      <c r="Z32" s="288"/>
      <c r="AA32" s="288"/>
      <c r="AB32" s="288"/>
    </row>
    <row r="33" spans="2:28" s="1" customFormat="1" x14ac:dyDescent="0.3">
      <c r="B33" s="394" t="s">
        <v>56</v>
      </c>
      <c r="C33" s="319" t="s">
        <v>209</v>
      </c>
      <c r="D33" s="320" t="s">
        <v>194</v>
      </c>
      <c r="E33" s="320" t="s">
        <v>213</v>
      </c>
      <c r="F33" s="161">
        <f>'Model input'!C55*'Model input'!C56</f>
        <v>36</v>
      </c>
      <c r="G33" s="161">
        <f>(F33*'Model input'!C57)+('Model input'!C55*'Model input'!C56)</f>
        <v>48.6</v>
      </c>
      <c r="H33" s="161">
        <f>(F33*'Model input'!C57)+('Model input'!C55*'Model input'!C56*'Model input'!C57)</f>
        <v>25.2</v>
      </c>
      <c r="I33" s="161">
        <f t="shared" ref="I33:N33" si="5">H33</f>
        <v>25.2</v>
      </c>
      <c r="J33" s="161">
        <f t="shared" si="5"/>
        <v>25.2</v>
      </c>
      <c r="K33" s="161">
        <f t="shared" si="5"/>
        <v>25.2</v>
      </c>
      <c r="L33" s="161">
        <f t="shared" si="5"/>
        <v>25.2</v>
      </c>
      <c r="M33" s="161">
        <f t="shared" si="5"/>
        <v>25.2</v>
      </c>
      <c r="N33" s="161">
        <f t="shared" si="5"/>
        <v>25.2</v>
      </c>
      <c r="O33"/>
      <c r="P33"/>
      <c r="Q33"/>
      <c r="R33" s="9"/>
      <c r="S33" s="288"/>
      <c r="T33" s="288"/>
      <c r="U33" s="288"/>
      <c r="V33" s="288"/>
      <c r="W33" s="288"/>
      <c r="X33" s="288"/>
      <c r="Y33" s="288"/>
      <c r="Z33" s="288"/>
      <c r="AA33" s="288"/>
      <c r="AB33" s="288"/>
    </row>
    <row r="34" spans="2:28" s="1" customFormat="1" x14ac:dyDescent="0.3">
      <c r="B34" s="391"/>
      <c r="C34" s="312" t="s">
        <v>214</v>
      </c>
      <c r="D34" s="321" t="s">
        <v>194</v>
      </c>
      <c r="E34" s="321" t="s">
        <v>194</v>
      </c>
      <c r="F34" s="162">
        <v>0</v>
      </c>
      <c r="G34" s="162">
        <v>0</v>
      </c>
      <c r="H34" s="162">
        <v>0</v>
      </c>
      <c r="I34" s="162">
        <v>0</v>
      </c>
      <c r="J34" s="162">
        <v>10</v>
      </c>
      <c r="K34" s="162">
        <v>28.51</v>
      </c>
      <c r="L34" s="162">
        <v>28.51</v>
      </c>
      <c r="M34" s="162">
        <v>28.51</v>
      </c>
      <c r="N34" s="162">
        <v>28.51</v>
      </c>
      <c r="O34"/>
      <c r="P34"/>
      <c r="Q34"/>
      <c r="R34" s="9"/>
      <c r="S34" s="288"/>
      <c r="T34" s="288"/>
      <c r="U34" s="288"/>
      <c r="V34" s="288"/>
      <c r="W34" s="288"/>
      <c r="X34" s="288"/>
      <c r="Y34" s="288"/>
      <c r="Z34" s="288"/>
      <c r="AA34" s="288"/>
      <c r="AB34" s="288"/>
    </row>
    <row r="35" spans="2:28" s="1" customFormat="1" x14ac:dyDescent="0.3">
      <c r="B35" s="391"/>
      <c r="C35" s="289" t="s">
        <v>215</v>
      </c>
      <c r="D35" s="163" t="s">
        <v>194</v>
      </c>
      <c r="E35" s="164" t="s">
        <v>194</v>
      </c>
      <c r="F35" s="165">
        <f>0*F33*'Model input'!$C$58</f>
        <v>0</v>
      </c>
      <c r="G35" s="165">
        <f>0*G33*'Model input'!$C$58</f>
        <v>0</v>
      </c>
      <c r="H35" s="165">
        <f>0*H33*'Model input'!$C$58</f>
        <v>0</v>
      </c>
      <c r="I35" s="165">
        <f>I34*I33*'Model input'!$C$58</f>
        <v>0</v>
      </c>
      <c r="J35" s="165">
        <f>J34*J33*'Model input'!$C$58</f>
        <v>91240.076589075034</v>
      </c>
      <c r="K35" s="165">
        <f>K34*K33*'Model input'!$C$58</f>
        <v>260125.45835545292</v>
      </c>
      <c r="L35" s="165">
        <f>L34*L33*'Model input'!$C$58</f>
        <v>260125.45835545292</v>
      </c>
      <c r="M35" s="165">
        <f>M34*M33*'Model input'!$C$58</f>
        <v>260125.45835545292</v>
      </c>
      <c r="N35" s="165">
        <f>N34*N33*'Model input'!$C$58</f>
        <v>260125.45835545292</v>
      </c>
      <c r="O35"/>
      <c r="P35"/>
      <c r="Q35"/>
      <c r="R35" s="9"/>
      <c r="S35" s="288"/>
      <c r="T35" s="288"/>
      <c r="U35" s="288"/>
      <c r="V35" s="288"/>
      <c r="W35" s="288"/>
      <c r="X35" s="288"/>
      <c r="Y35" s="288"/>
      <c r="Z35" s="288"/>
      <c r="AA35" s="288"/>
      <c r="AB35" s="288"/>
    </row>
    <row r="36" spans="2:28" s="1" customFormat="1" x14ac:dyDescent="0.3">
      <c r="B36" s="391"/>
      <c r="C36" s="375" t="s">
        <v>304</v>
      </c>
      <c r="D36" s="163" t="s">
        <v>194</v>
      </c>
      <c r="E36" s="164" t="s">
        <v>194</v>
      </c>
      <c r="F36" s="165">
        <f>0*F33*'Model input'!$C$60</f>
        <v>0</v>
      </c>
      <c r="G36" s="165">
        <f>0*G33*'Model input'!$C$60</f>
        <v>0</v>
      </c>
      <c r="H36" s="165">
        <f>0*H33*'Model input'!$C$60</f>
        <v>0</v>
      </c>
      <c r="I36" s="165">
        <f>0*I33*'Model input'!$C$60</f>
        <v>0</v>
      </c>
      <c r="J36" s="165">
        <f>0*J33*'Model input'!$C$60</f>
        <v>0</v>
      </c>
      <c r="K36" s="165">
        <f>0*K33*'Model input'!$C$60</f>
        <v>0</v>
      </c>
      <c r="L36" s="165">
        <f>0*L33*'Model input'!$C$60</f>
        <v>0</v>
      </c>
      <c r="M36" s="165">
        <f>0*M33*'Model input'!$C$60</f>
        <v>0</v>
      </c>
      <c r="N36" s="165">
        <f>'Sensitivity analysis'!$C$15*'Model input'!$C$60*N33</f>
        <v>0</v>
      </c>
      <c r="O36"/>
      <c r="P36"/>
      <c r="Q36"/>
      <c r="R36" s="9"/>
      <c r="S36" s="288"/>
      <c r="T36" s="288"/>
      <c r="U36" s="288"/>
      <c r="V36" s="288"/>
      <c r="W36" s="288"/>
      <c r="X36" s="288"/>
      <c r="Y36" s="288"/>
      <c r="Z36" s="288"/>
      <c r="AA36" s="288"/>
      <c r="AB36" s="288"/>
    </row>
    <row r="37" spans="2:28" s="1" customFormat="1" x14ac:dyDescent="0.3">
      <c r="B37" s="391"/>
      <c r="C37" s="375" t="s">
        <v>307</v>
      </c>
      <c r="D37" s="164" t="s">
        <v>213</v>
      </c>
      <c r="E37" s="164" t="s">
        <v>213</v>
      </c>
      <c r="F37" s="165">
        <f>'Sensitivity analysis'!$C$16*0.4*3400*F33</f>
        <v>0</v>
      </c>
      <c r="G37" s="165">
        <f>'Sensitivity analysis'!$C$16*0.4*3400*G33</f>
        <v>0</v>
      </c>
      <c r="H37" s="165">
        <f>'Sensitivity analysis'!$C$16*0.4*3400*H33</f>
        <v>0</v>
      </c>
      <c r="I37" s="165">
        <f>'Sensitivity analysis'!$C$16*0.4*3400*I33</f>
        <v>0</v>
      </c>
      <c r="J37" s="165">
        <f>'Sensitivity analysis'!$C$16*0.4*3400*J33</f>
        <v>0</v>
      </c>
      <c r="K37" s="165">
        <f>'Sensitivity analysis'!$C$16*0.4*3400*K33</f>
        <v>0</v>
      </c>
      <c r="L37" s="165">
        <f>'Sensitivity analysis'!$C$16*0.4*3400*L33</f>
        <v>0</v>
      </c>
      <c r="M37" s="165">
        <f>'Sensitivity analysis'!$C$16*0.17*3400*M33</f>
        <v>0</v>
      </c>
      <c r="N37" s="165">
        <f>'Sensitivity analysis'!$C$16*0.17*3400*N33</f>
        <v>0</v>
      </c>
      <c r="O37"/>
      <c r="P37"/>
      <c r="Q37"/>
      <c r="R37" s="9"/>
      <c r="S37" s="288"/>
      <c r="T37" s="288"/>
      <c r="U37" s="288"/>
      <c r="V37" s="288"/>
      <c r="W37" s="288"/>
      <c r="X37" s="288"/>
      <c r="Y37" s="288"/>
      <c r="Z37" s="288"/>
      <c r="AA37" s="288"/>
      <c r="AB37" s="288"/>
    </row>
    <row r="38" spans="2:28" s="1" customFormat="1" x14ac:dyDescent="0.3">
      <c r="B38" s="391"/>
      <c r="C38" s="294" t="s">
        <v>200</v>
      </c>
      <c r="D38" s="295" t="s">
        <v>194</v>
      </c>
      <c r="E38" s="296">
        <v>0</v>
      </c>
      <c r="F38" s="296">
        <f>F35+F36-F37</f>
        <v>0</v>
      </c>
      <c r="G38" s="296">
        <f t="shared" ref="G38:M38" si="6">G35+G36-G37</f>
        <v>0</v>
      </c>
      <c r="H38" s="296">
        <f t="shared" si="6"/>
        <v>0</v>
      </c>
      <c r="I38" s="296">
        <f t="shared" si="6"/>
        <v>0</v>
      </c>
      <c r="J38" s="296">
        <f t="shared" si="6"/>
        <v>91240.076589075034</v>
      </c>
      <c r="K38" s="296">
        <f t="shared" si="6"/>
        <v>260125.45835545292</v>
      </c>
      <c r="L38" s="296">
        <f t="shared" si="6"/>
        <v>260125.45835545292</v>
      </c>
      <c r="M38" s="296">
        <f t="shared" si="6"/>
        <v>260125.45835545292</v>
      </c>
      <c r="N38" s="296">
        <f>N35+N36-N37</f>
        <v>260125.45835545292</v>
      </c>
      <c r="O38"/>
      <c r="P38"/>
      <c r="Q38"/>
      <c r="R38" s="9"/>
      <c r="S38" s="288"/>
      <c r="T38" s="288"/>
      <c r="U38" s="288"/>
      <c r="V38" s="288"/>
      <c r="W38" s="288"/>
      <c r="X38" s="288"/>
      <c r="Y38" s="288"/>
      <c r="Z38" s="288"/>
      <c r="AA38" s="288"/>
      <c r="AB38" s="288"/>
    </row>
    <row r="39" spans="2:28" s="1" customFormat="1" x14ac:dyDescent="0.3">
      <c r="B39" s="391"/>
      <c r="C39" s="294" t="s">
        <v>201</v>
      </c>
      <c r="D39" s="295" t="s">
        <v>194</v>
      </c>
      <c r="E39" s="296">
        <f>E38/(1+'Model input'!$C$12)^(E4-2024)</f>
        <v>0</v>
      </c>
      <c r="F39" s="296">
        <f>F38/(1+'Model input'!$C$12)^(F4-2024)</f>
        <v>0</v>
      </c>
      <c r="G39" s="296">
        <f>G38/(1+'Model input'!$C$12)^(G4-2024)</f>
        <v>0</v>
      </c>
      <c r="H39" s="296">
        <f>H38/(1+'Model input'!$C$12)^(H4-2024)</f>
        <v>0</v>
      </c>
      <c r="I39" s="296">
        <f>I38/(1+'Model input'!$C$12)^(I4-2024)</f>
        <v>0</v>
      </c>
      <c r="J39" s="296">
        <f>J38/(1+'Model input'!$C$12)^(J4-2024)</f>
        <v>51502.644610642812</v>
      </c>
      <c r="K39" s="296">
        <f>K38/(1+'Model input'!$C$12)^(K4-2024)</f>
        <v>133485.49071358421</v>
      </c>
      <c r="L39" s="296">
        <f>L38/(1+'Model input'!$C$12)^(L4-2024)</f>
        <v>121350.44610325839</v>
      </c>
      <c r="M39" s="296">
        <f>M38/(1+'Model input'!$C$12)^(M4-2024)</f>
        <v>110318.58736659853</v>
      </c>
      <c r="N39" s="296">
        <f>N38/(1+'Model input'!$C$12)^(N4-2024)</f>
        <v>100289.62487872592</v>
      </c>
      <c r="O39"/>
      <c r="P39"/>
      <c r="Q39"/>
      <c r="R39" s="9"/>
      <c r="S39" s="288"/>
      <c r="T39" s="288"/>
      <c r="U39" s="288"/>
      <c r="V39" s="288"/>
      <c r="W39" s="288"/>
      <c r="X39" s="288"/>
      <c r="Y39" s="288"/>
      <c r="Z39" s="288"/>
      <c r="AA39" s="288"/>
      <c r="AB39" s="288"/>
    </row>
    <row r="40" spans="2:28" s="1" customFormat="1" x14ac:dyDescent="0.3">
      <c r="B40" s="391"/>
      <c r="C40" s="294" t="s">
        <v>202</v>
      </c>
      <c r="D40" s="295" t="s">
        <v>194</v>
      </c>
      <c r="E40" s="296">
        <f>E39/('Model input'!$F$94/'Model input'!$C$94)</f>
        <v>0</v>
      </c>
      <c r="F40" s="296">
        <f>F39/('Model input'!$F$94/'Model input'!$C$94)</f>
        <v>0</v>
      </c>
      <c r="G40" s="296">
        <f>G39/('Model input'!$F$94/'Model input'!$C$94)</f>
        <v>0</v>
      </c>
      <c r="H40" s="296">
        <f>H39/('Model input'!$F$94/'Model input'!$C$94)</f>
        <v>0</v>
      </c>
      <c r="I40" s="296">
        <f>I39/('Model input'!$F$94/'Model input'!$C$94)</f>
        <v>0</v>
      </c>
      <c r="J40" s="296">
        <f>J39/('Model input'!$F$94/'Model input'!$C$94)</f>
        <v>44211.932280529982</v>
      </c>
      <c r="K40" s="296">
        <f>K39/('Model input'!$F$94/'Model input'!$C$94)</f>
        <v>114589.28993799178</v>
      </c>
      <c r="L40" s="296">
        <f>L39/('Model input'!$F$94/'Model input'!$C$94)</f>
        <v>104172.08176181072</v>
      </c>
      <c r="M40" s="296">
        <f>M39/('Model input'!$F$94/'Model input'!$C$94)</f>
        <v>94701.892510737016</v>
      </c>
      <c r="N40" s="296">
        <f>N39/('Model input'!$F$94/'Model input'!$C$94)</f>
        <v>86092.629555215462</v>
      </c>
      <c r="O40"/>
      <c r="P40"/>
      <c r="Q40"/>
      <c r="R40" s="9"/>
      <c r="S40" s="288"/>
      <c r="T40" s="288"/>
      <c r="U40" s="288"/>
      <c r="V40" s="288"/>
      <c r="W40" s="288"/>
      <c r="X40" s="288"/>
      <c r="Y40" s="288"/>
      <c r="Z40" s="288"/>
      <c r="AA40" s="288"/>
      <c r="AB40" s="288"/>
    </row>
    <row r="41" spans="2:28" s="1" customFormat="1" ht="15" thickBot="1" x14ac:dyDescent="0.35">
      <c r="B41" s="395"/>
      <c r="C41" s="309" t="s">
        <v>203</v>
      </c>
      <c r="D41" s="322" t="s">
        <v>194</v>
      </c>
      <c r="E41" s="311">
        <f>E40*'Model input'!$D$99</f>
        <v>0</v>
      </c>
      <c r="F41" s="311">
        <f>F40*'Model input'!$D$99</f>
        <v>0</v>
      </c>
      <c r="G41" s="311">
        <f>G40*'Model input'!$D$99</f>
        <v>0</v>
      </c>
      <c r="H41" s="311">
        <f>H40*'Model input'!$D$99</f>
        <v>0</v>
      </c>
      <c r="I41" s="311">
        <f>I40*'Model input'!$D$99</f>
        <v>0</v>
      </c>
      <c r="J41" s="311">
        <f>J40*'Model input'!$D$99</f>
        <v>10.434016018205075</v>
      </c>
      <c r="K41" s="311">
        <f>K40*'Model input'!$D$99</f>
        <v>27.043072425366059</v>
      </c>
      <c r="L41" s="311">
        <f>L40*'Model input'!$D$99</f>
        <v>24.58461129578733</v>
      </c>
      <c r="M41" s="311">
        <f>M40*'Model input'!$D$99</f>
        <v>22.349646632533936</v>
      </c>
      <c r="N41" s="311">
        <f>N40*'Model input'!$D$99</f>
        <v>20.317860575030849</v>
      </c>
      <c r="O41"/>
      <c r="P41"/>
      <c r="Q41"/>
      <c r="R41" s="9"/>
      <c r="S41" s="288"/>
      <c r="T41" s="288"/>
      <c r="U41" s="288"/>
      <c r="V41" s="288"/>
      <c r="W41" s="288"/>
      <c r="X41" s="288"/>
      <c r="Y41" s="288"/>
      <c r="Z41" s="288"/>
      <c r="AA41" s="288"/>
      <c r="AB41" s="288"/>
    </row>
    <row r="42" spans="2:28" x14ac:dyDescent="0.3">
      <c r="B42" s="392" t="s">
        <v>216</v>
      </c>
      <c r="C42" s="393"/>
      <c r="D42" s="323">
        <v>0</v>
      </c>
      <c r="E42" s="307">
        <f t="shared" ref="E42:N42" si="7">E11+E19+E29+E38</f>
        <v>142993.12287425232</v>
      </c>
      <c r="F42" s="307">
        <f t="shared" si="7"/>
        <v>1191605.1421246848</v>
      </c>
      <c r="G42" s="307">
        <f t="shared" si="7"/>
        <v>1107504.5085344568</v>
      </c>
      <c r="H42" s="307">
        <f t="shared" si="7"/>
        <v>1026774.689346315</v>
      </c>
      <c r="I42" s="307">
        <f t="shared" si="7"/>
        <v>955368.14695890807</v>
      </c>
      <c r="J42" s="307">
        <f t="shared" si="7"/>
        <v>981100.84875485662</v>
      </c>
      <c r="K42" s="307">
        <f t="shared" si="7"/>
        <v>1088617.0193880063</v>
      </c>
      <c r="L42" s="307">
        <f t="shared" si="7"/>
        <v>1031452.3806675039</v>
      </c>
      <c r="M42" s="307">
        <f t="shared" si="7"/>
        <v>978223.11057359795</v>
      </c>
      <c r="N42" s="307">
        <f t="shared" si="7"/>
        <v>928464.52269654721</v>
      </c>
      <c r="R42" s="9"/>
    </row>
    <row r="43" spans="2:28" x14ac:dyDescent="0.3">
      <c r="B43" s="392" t="s">
        <v>217</v>
      </c>
      <c r="C43" s="393"/>
      <c r="D43" s="323">
        <v>0</v>
      </c>
      <c r="E43" s="307">
        <f t="shared" ref="E43:N43" si="8">E13+E21+E31+E40</f>
        <v>111591.83824251672</v>
      </c>
      <c r="F43" s="307">
        <f t="shared" si="8"/>
        <v>845389.72349336708</v>
      </c>
      <c r="G43" s="307">
        <f t="shared" si="8"/>
        <v>714294.67632982822</v>
      </c>
      <c r="H43" s="307">
        <f t="shared" si="8"/>
        <v>602024.79681164923</v>
      </c>
      <c r="I43" s="307">
        <f t="shared" si="8"/>
        <v>509233.88860370929</v>
      </c>
      <c r="J43" s="307">
        <f t="shared" si="8"/>
        <v>475409.11743068439</v>
      </c>
      <c r="K43" s="307">
        <f t="shared" si="8"/>
        <v>479552.64376940095</v>
      </c>
      <c r="L43" s="307">
        <f t="shared" si="8"/>
        <v>413064.3052456812</v>
      </c>
      <c r="M43" s="307">
        <f t="shared" si="8"/>
        <v>356134.23020852782</v>
      </c>
      <c r="N43" s="307">
        <f t="shared" si="8"/>
        <v>307290.00042143755</v>
      </c>
      <c r="R43" s="9"/>
    </row>
    <row r="44" spans="2:28" x14ac:dyDescent="0.3">
      <c r="B44" s="401" t="s">
        <v>218</v>
      </c>
      <c r="C44" s="401"/>
      <c r="D44" s="324">
        <v>0</v>
      </c>
      <c r="E44" s="307">
        <f t="shared" ref="E44:N44" si="9">E14+E22+E32+E41</f>
        <v>26.335673825233947</v>
      </c>
      <c r="F44" s="307">
        <f t="shared" si="9"/>
        <v>199.51197474443461</v>
      </c>
      <c r="G44" s="307">
        <f t="shared" si="9"/>
        <v>168.57354361383943</v>
      </c>
      <c r="H44" s="307">
        <f t="shared" si="9"/>
        <v>142.07785204754919</v>
      </c>
      <c r="I44" s="307">
        <f t="shared" si="9"/>
        <v>120.17919771047538</v>
      </c>
      <c r="J44" s="307">
        <f t="shared" si="9"/>
        <v>112.1965517136415</v>
      </c>
      <c r="K44" s="307">
        <f t="shared" si="9"/>
        <v>113.17442392957862</v>
      </c>
      <c r="L44" s="307">
        <f t="shared" si="9"/>
        <v>97.483176037980741</v>
      </c>
      <c r="M44" s="307">
        <f t="shared" si="9"/>
        <v>84.047678329212545</v>
      </c>
      <c r="N44" s="307">
        <f t="shared" si="9"/>
        <v>72.520440099459265</v>
      </c>
      <c r="R44" s="9"/>
    </row>
    <row r="45" spans="2:28" x14ac:dyDescent="0.3">
      <c r="R45" s="9"/>
    </row>
    <row r="46" spans="2:28" hidden="1" x14ac:dyDescent="0.3">
      <c r="B46" s="408" t="s">
        <v>219</v>
      </c>
      <c r="C46" s="409"/>
      <c r="D46" s="416">
        <f>SUM(D44:N44)</f>
        <v>1136.1005120514053</v>
      </c>
      <c r="E46" s="417"/>
      <c r="F46" s="418"/>
      <c r="R46" s="9"/>
    </row>
    <row r="47" spans="2:28" ht="19.05" hidden="1" customHeight="1" x14ac:dyDescent="0.3">
      <c r="B47" s="410"/>
      <c r="C47" s="411"/>
      <c r="D47" s="419"/>
      <c r="E47" s="420"/>
      <c r="F47" s="421"/>
      <c r="R47" s="9"/>
    </row>
    <row r="48" spans="2:28" hidden="1" x14ac:dyDescent="0.3">
      <c r="B48" s="166"/>
      <c r="R48" s="9"/>
    </row>
    <row r="49" spans="2:18" x14ac:dyDescent="0.3">
      <c r="B49" s="166"/>
      <c r="R49" s="9"/>
    </row>
    <row r="50" spans="2:18" ht="21" x14ac:dyDescent="0.4">
      <c r="B50" s="171" t="s">
        <v>52</v>
      </c>
      <c r="R50" s="9"/>
    </row>
    <row r="51" spans="2:18" ht="15.6" x14ac:dyDescent="0.3">
      <c r="B51" s="3" t="s">
        <v>155</v>
      </c>
      <c r="C51" s="4"/>
      <c r="D51" s="176">
        <v>2024</v>
      </c>
      <c r="E51" s="176">
        <v>2025</v>
      </c>
      <c r="F51" s="176">
        <v>2026</v>
      </c>
      <c r="G51" s="176">
        <v>2027</v>
      </c>
      <c r="H51" s="176">
        <v>2028</v>
      </c>
      <c r="I51" s="176">
        <v>2029</v>
      </c>
      <c r="J51" s="176">
        <v>2030</v>
      </c>
      <c r="K51" s="176">
        <v>2031</v>
      </c>
      <c r="L51" s="176">
        <v>2032</v>
      </c>
      <c r="M51" s="176">
        <v>2033</v>
      </c>
      <c r="R51" s="9"/>
    </row>
    <row r="52" spans="2:18" x14ac:dyDescent="0.3">
      <c r="B52" s="389" t="s">
        <v>192</v>
      </c>
      <c r="C52" s="289" t="s">
        <v>193</v>
      </c>
      <c r="D52" s="290">
        <f>'Model input'!I22*'Model input'!C25</f>
        <v>20.79</v>
      </c>
      <c r="E52" s="290">
        <f>'Model input'!$I$22*'Model input'!$C$26</f>
        <v>207.9</v>
      </c>
      <c r="F52" s="290">
        <f>E52+E52*'Model input'!$C$76</f>
        <v>192.72329999999999</v>
      </c>
      <c r="G52" s="290">
        <f>F52+F52*'Model input'!$C$76</f>
        <v>178.65449910000001</v>
      </c>
      <c r="H52" s="290">
        <f>G52+G52*'Model input'!$C$76</f>
        <v>165.61272066570001</v>
      </c>
      <c r="I52" s="290">
        <f>H52+H52*'Model input'!$C$76</f>
        <v>153.52299205710392</v>
      </c>
      <c r="J52" s="290">
        <f>I52+I52*'Model input'!$C$76</f>
        <v>142.31581363693533</v>
      </c>
      <c r="K52" s="290">
        <f>J52+J52*'Model input'!$C$76</f>
        <v>131.92675924143904</v>
      </c>
      <c r="L52" s="290">
        <f>K52+K52*'Model input'!$C$76</f>
        <v>122.29610581681399</v>
      </c>
      <c r="M52" s="290">
        <f>L52+L52*'Model input'!$C$76</f>
        <v>113.36849009218658</v>
      </c>
      <c r="R52" s="9"/>
    </row>
    <row r="53" spans="2:18" x14ac:dyDescent="0.3">
      <c r="B53" s="389"/>
      <c r="C53" s="289" t="s">
        <v>195</v>
      </c>
      <c r="D53" s="291">
        <f>'Model input'!$C$23*D52</f>
        <v>906.42955668989464</v>
      </c>
      <c r="E53" s="291">
        <f>'Model input'!$C$23*E52</f>
        <v>9064.2955668989471</v>
      </c>
      <c r="F53" s="291">
        <f>'Model input'!$C$23*F52</f>
        <v>8402.6019905153244</v>
      </c>
      <c r="G53" s="291">
        <f>'Model input'!$C$23*G52</f>
        <v>7789.2120452077061</v>
      </c>
      <c r="H53" s="291">
        <f>'Model input'!$C$23*H52</f>
        <v>7220.5995659075434</v>
      </c>
      <c r="I53" s="291">
        <f>'Model input'!$C$23*I52</f>
        <v>6693.4957975962934</v>
      </c>
      <c r="J53" s="291">
        <f>'Model input'!$C$23*J52</f>
        <v>6204.8706043717639</v>
      </c>
      <c r="K53" s="291">
        <f>'Model input'!$C$23*K52</f>
        <v>5751.9150502526245</v>
      </c>
      <c r="L53" s="291">
        <f>'Model input'!$C$23*L52</f>
        <v>5332.025251584183</v>
      </c>
      <c r="M53" s="291">
        <f>'Model input'!$C$23*M52</f>
        <v>4942.7874082185381</v>
      </c>
      <c r="R53" s="9"/>
    </row>
    <row r="54" spans="2:18" x14ac:dyDescent="0.3">
      <c r="B54" s="389"/>
      <c r="C54" s="289" t="s">
        <v>196</v>
      </c>
      <c r="D54" s="325">
        <v>0.05</v>
      </c>
      <c r="E54" s="325">
        <v>0.05</v>
      </c>
      <c r="F54" s="292">
        <f>E54+(E54*'Model input'!$C$76)</f>
        <v>4.6350000000000002E-2</v>
      </c>
      <c r="G54" s="292">
        <f>F54+(F54*'Model input'!$C$76)</f>
        <v>4.2966450000000003E-2</v>
      </c>
      <c r="H54" s="292">
        <f>G54+(G54*'Model input'!$C$76)</f>
        <v>3.982989915E-2</v>
      </c>
      <c r="I54" s="292">
        <f>H54+(H54*'Model input'!$C$76)</f>
        <v>3.6922316512050003E-2</v>
      </c>
      <c r="J54" s="292">
        <f>I54+(I54*'Model input'!$C$76)</f>
        <v>3.4226987406670351E-2</v>
      </c>
      <c r="K54" s="292">
        <f>J54+(J54*'Model input'!$C$76)</f>
        <v>3.1728417325983416E-2</v>
      </c>
      <c r="L54" s="292">
        <f>K54+(K54*'Model input'!$C$76)</f>
        <v>2.9412242861186627E-2</v>
      </c>
      <c r="M54" s="292">
        <f>L54+(L54*'Model input'!$C$76)</f>
        <v>2.7265149132320005E-2</v>
      </c>
      <c r="R54" s="9"/>
    </row>
    <row r="55" spans="2:18" x14ac:dyDescent="0.3">
      <c r="B55" s="389"/>
      <c r="C55" s="289" t="s">
        <v>197</v>
      </c>
      <c r="D55" s="291">
        <f>'Model input'!$C$24*D54*'Model input'!$I$18</f>
        <v>2502.5892293501697</v>
      </c>
      <c r="E55" s="291">
        <f>'Model input'!$C$24*E54*'Model input'!$I$18</f>
        <v>2502.5892293501697</v>
      </c>
      <c r="F55" s="291">
        <f>'Model input'!$C$24*F54*'Model input'!$I$18</f>
        <v>2319.9002156076076</v>
      </c>
      <c r="G55" s="291">
        <f>'Model input'!$C$24*G54*'Model input'!$I$18</f>
        <v>2150.5474998682525</v>
      </c>
      <c r="H55" s="291">
        <f>'Model input'!$C$24*H54*'Model input'!$I$18</f>
        <v>1993.5575323778698</v>
      </c>
      <c r="I55" s="291">
        <f>'Model input'!$C$24*I54*'Model input'!$I$18</f>
        <v>1848.0278325142854</v>
      </c>
      <c r="J55" s="291">
        <f>'Model input'!$C$24*J54*'Model input'!$I$18</f>
        <v>1713.1218007407424</v>
      </c>
      <c r="K55" s="291">
        <f>'Model input'!$C$24*K54*'Model input'!$I$18</f>
        <v>1588.0639092866684</v>
      </c>
      <c r="L55" s="291">
        <f>'Model input'!$C$24*L54*'Model input'!$I$18</f>
        <v>1472.1352439087414</v>
      </c>
      <c r="M55" s="291">
        <f>'Model input'!$C$24*M54*'Model input'!$I$18</f>
        <v>1364.6693711034034</v>
      </c>
      <c r="R55" s="9"/>
    </row>
    <row r="56" spans="2:18" x14ac:dyDescent="0.3">
      <c r="B56" s="389"/>
      <c r="C56" s="289" t="s">
        <v>198</v>
      </c>
      <c r="D56" s="291">
        <f>D52*'Model input'!F$67</f>
        <v>42266.07</v>
      </c>
      <c r="E56" s="291">
        <f>E52*'Model input'!G$67</f>
        <v>492624.75907059497</v>
      </c>
      <c r="F56" s="291">
        <f>F52*'Model input'!H$67</f>
        <v>373195.11093350145</v>
      </c>
      <c r="G56" s="291">
        <f>G52*'Model input'!I$67</f>
        <v>345951.86783535586</v>
      </c>
      <c r="H56" s="291">
        <f>H52*'Model input'!J$67</f>
        <v>320697.38148337492</v>
      </c>
      <c r="I56" s="291">
        <f>I52*'Model input'!K$67</f>
        <v>297286.47263508855</v>
      </c>
      <c r="J56" s="291">
        <f>J52*'Model input'!L$67</f>
        <v>275584.56013272709</v>
      </c>
      <c r="K56" s="291">
        <f>K52*'Model input'!M$67</f>
        <v>255466.88724303799</v>
      </c>
      <c r="L56" s="291">
        <f>L52*'Model input'!N$67</f>
        <v>236817.80447429619</v>
      </c>
      <c r="M56" s="291">
        <f>M52*'Model input'!O$67</f>
        <v>219530.10474767259</v>
      </c>
      <c r="R56" s="9"/>
    </row>
    <row r="57" spans="2:18" x14ac:dyDescent="0.3">
      <c r="B57" s="389"/>
      <c r="C57" s="289" t="s">
        <v>199</v>
      </c>
      <c r="D57" s="291">
        <v>0</v>
      </c>
      <c r="E57" s="291">
        <f>'Model input'!$C$27*'Model input'!$C$29*'Model input'!G$67*('Model input'!$I$22+E52)*'Model input'!$C$28</f>
        <v>862.09332837354145</v>
      </c>
      <c r="F57" s="291">
        <f>'Model input'!$C$27*'Model input'!$C$29*'Model input'!H$67*('Model input'!$I$22+F52)*'Model input'!$C$28</f>
        <v>689.82720882907756</v>
      </c>
      <c r="G57" s="291">
        <f>'Model input'!$C$27*'Model input'!$C$29*'Model input'!I$67*('Model input'!$I$22+G52)*'Model input'!$C$28</f>
        <v>676.20558728000481</v>
      </c>
      <c r="H57" s="291">
        <f>'Model input'!$C$27*'Model input'!$C$29*'Model input'!J$67*('Model input'!$I$22+H52)*'Model input'!$C$28</f>
        <v>663.57834410401426</v>
      </c>
      <c r="I57" s="291">
        <f>'Model input'!$C$27*'Model input'!$C$29*'Model input'!K$67*('Model input'!$I$22+I52)*'Model input'!$C$28</f>
        <v>651.87288967987115</v>
      </c>
      <c r="J57" s="291">
        <f>'Model input'!$C$27*'Model input'!$C$29*'Model input'!L$67*('Model input'!$I$22+J52)*'Model input'!$C$28</f>
        <v>641.02193342869032</v>
      </c>
      <c r="K57" s="291">
        <f>'Model input'!$C$27*'Model input'!$C$29*'Model input'!M$67*('Model input'!$I$22+K52)*'Model input'!$C$28</f>
        <v>630.96309698384584</v>
      </c>
      <c r="L57" s="291">
        <f>'Model input'!$C$27*'Model input'!$C$29*'Model input'!N$67*('Model input'!$I$22+L52)*'Model input'!$C$28</f>
        <v>621.6385555994749</v>
      </c>
      <c r="M57" s="291">
        <f>'Model input'!$C$27*'Model input'!$C$29*'Model input'!O$67*('Model input'!$I$22+M52)*'Model input'!$C$28</f>
        <v>612.99470573616316</v>
      </c>
      <c r="R57" s="9"/>
    </row>
    <row r="58" spans="2:18" x14ac:dyDescent="0.3">
      <c r="B58" s="389"/>
      <c r="C58" s="294" t="s">
        <v>200</v>
      </c>
      <c r="D58" s="296">
        <f t="shared" ref="D58:M58" si="10">D56+D57-D55-D53</f>
        <v>38857.051213959938</v>
      </c>
      <c r="E58" s="296">
        <f t="shared" si="10"/>
        <v>481919.96760271944</v>
      </c>
      <c r="F58" s="296">
        <f t="shared" si="10"/>
        <v>363162.43593620759</v>
      </c>
      <c r="G58" s="296">
        <f t="shared" si="10"/>
        <v>336688.31387755991</v>
      </c>
      <c r="H58" s="296">
        <f t="shared" si="10"/>
        <v>312146.80272919347</v>
      </c>
      <c r="I58" s="296">
        <f t="shared" si="10"/>
        <v>289396.82189465786</v>
      </c>
      <c r="J58" s="296">
        <f t="shared" si="10"/>
        <v>268307.58966104331</v>
      </c>
      <c r="K58" s="296">
        <f t="shared" si="10"/>
        <v>248757.87138048254</v>
      </c>
      <c r="L58" s="296">
        <f t="shared" si="10"/>
        <v>230635.28253440274</v>
      </c>
      <c r="M58" s="296">
        <f t="shared" si="10"/>
        <v>213835.64267408682</v>
      </c>
      <c r="R58" s="9"/>
    </row>
    <row r="59" spans="2:18" x14ac:dyDescent="0.3">
      <c r="B59" s="389"/>
      <c r="C59" s="294" t="s">
        <v>201</v>
      </c>
      <c r="D59" s="296">
        <f>D58/(1+'Model input'!$C$12)^(D51-2024)</f>
        <v>38857.051213959938</v>
      </c>
      <c r="E59" s="296">
        <f>E58/(1+'Model input'!$C$12)^(E51-2024)</f>
        <v>438109.06145701761</v>
      </c>
      <c r="F59" s="296">
        <f>F58/(1+'Model input'!$C$12)^(F51-2024)</f>
        <v>300134.24457537814</v>
      </c>
      <c r="G59" s="296">
        <f>G58/(1+'Model input'!$C$12)^(G51-2024)</f>
        <v>252958.91350680677</v>
      </c>
      <c r="H59" s="296">
        <f>H58/(1+'Model input'!$C$12)^(H51-2024)</f>
        <v>213200.46631322545</v>
      </c>
      <c r="I59" s="296">
        <f>I58/(1+'Model input'!$C$12)^(I51-2024)</f>
        <v>179692.65753994559</v>
      </c>
      <c r="J59" s="296">
        <f>J58/(1+'Model input'!$C$12)^(J51-2024)</f>
        <v>151452.63959922531</v>
      </c>
      <c r="K59" s="296">
        <f>K58/(1+'Model input'!$C$12)^(K51-2024)</f>
        <v>127652.12117268452</v>
      </c>
      <c r="L59" s="296">
        <f>L58/(1+'Model input'!$C$12)^(L51-2024)</f>
        <v>107593.06143905585</v>
      </c>
      <c r="M59" s="296">
        <f>M58/(1+'Model input'!$C$12)^(M51-2024)</f>
        <v>90687.186781229873</v>
      </c>
      <c r="R59" s="9"/>
    </row>
    <row r="60" spans="2:18" x14ac:dyDescent="0.3">
      <c r="B60" s="389"/>
      <c r="C60" s="294" t="s">
        <v>202</v>
      </c>
      <c r="D60" s="296">
        <f>D59/('Model input'!$F$94/'Model input'!$C$94)</f>
        <v>33356.44858395632</v>
      </c>
      <c r="E60" s="296">
        <f>E59/('Model input'!$F$94/'Model input'!$C$94)</f>
        <v>376090.36007874343</v>
      </c>
      <c r="F60" s="296">
        <f>F59/('Model input'!$F$94/'Model input'!$C$94)</f>
        <v>257647.25280714128</v>
      </c>
      <c r="G60" s="296">
        <f>G59/('Model input'!$F$94/'Model input'!$C$94)</f>
        <v>217150.05973515182</v>
      </c>
      <c r="H60" s="296">
        <f>H59/('Model input'!$F$94/'Model input'!$C$94)</f>
        <v>183019.81675072841</v>
      </c>
      <c r="I60" s="296">
        <f>I59/('Model input'!$F$94/'Model input'!$C$94)</f>
        <v>154255.37205953166</v>
      </c>
      <c r="J60" s="296">
        <f>J59/('Model input'!$F$94/'Model input'!$C$94)</f>
        <v>130013.00993939172</v>
      </c>
      <c r="K60" s="296">
        <f>K59/('Model input'!$F$94/'Model input'!$C$94)</f>
        <v>109581.69195813448</v>
      </c>
      <c r="L60" s="296">
        <f>L59/('Model input'!$F$94/'Model input'!$C$94)</f>
        <v>92362.191925488922</v>
      </c>
      <c r="M60" s="296">
        <f>M59/('Model input'!$F$94/'Model input'!$C$94)</f>
        <v>77849.51221427125</v>
      </c>
      <c r="R60" s="9"/>
    </row>
    <row r="61" spans="2:18" ht="15" thickBot="1" x14ac:dyDescent="0.35">
      <c r="B61" s="389"/>
      <c r="C61" s="297" t="s">
        <v>203</v>
      </c>
      <c r="D61" s="298">
        <f>D60*'Model input'!$D$99</f>
        <v>7.8721218658136909</v>
      </c>
      <c r="E61" s="298">
        <f>E60*'Model input'!$D$99</f>
        <v>88.757324978583441</v>
      </c>
      <c r="F61" s="298">
        <f>F60*'Model input'!$D$99</f>
        <v>60.804751662485337</v>
      </c>
      <c r="G61" s="298">
        <f>G60*'Model input'!$D$99</f>
        <v>51.247414097495827</v>
      </c>
      <c r="H61" s="298">
        <f>H60*'Model input'!$D$99</f>
        <v>43.192676753171902</v>
      </c>
      <c r="I61" s="298">
        <f>I60*'Model input'!$D$99</f>
        <v>36.404267806049468</v>
      </c>
      <c r="J61" s="298">
        <f>J60*'Model input'!$D$99</f>
        <v>30.683070345696443</v>
      </c>
      <c r="K61" s="298">
        <f>K60*'Model input'!$D$99</f>
        <v>25.861279302119737</v>
      </c>
      <c r="L61" s="298">
        <f>L60*'Model input'!$D$99</f>
        <v>21.797477294415383</v>
      </c>
      <c r="M61" s="298">
        <f>M60*'Model input'!$D$99</f>
        <v>18.372484882568013</v>
      </c>
      <c r="R61" s="9"/>
    </row>
    <row r="62" spans="2:18" x14ac:dyDescent="0.3">
      <c r="B62" s="388" t="s">
        <v>54</v>
      </c>
      <c r="C62" s="299" t="s">
        <v>204</v>
      </c>
      <c r="D62" s="301" t="s">
        <v>194</v>
      </c>
      <c r="E62" s="301">
        <f>'Model input'!$C$37*'Model input'!$C$41*'Model input'!$I$35</f>
        <v>76602.13141229203</v>
      </c>
      <c r="F62" s="301">
        <f>'Model input'!$C$37*'Model input'!$C$41*'Model input'!$I$35</f>
        <v>76602.13141229203</v>
      </c>
      <c r="G62" s="301">
        <f>'Model input'!$C$37*'Model input'!$C$41*'Model input'!$I$35</f>
        <v>76602.13141229203</v>
      </c>
      <c r="H62" s="301">
        <f>'Model input'!$C$37*'Model input'!$C$41*'Model input'!$I$35</f>
        <v>76602.13141229203</v>
      </c>
      <c r="I62" s="301">
        <f>'Model input'!$C$37*'Model input'!$C$41*'Model input'!$I$35</f>
        <v>76602.13141229203</v>
      </c>
      <c r="J62" s="301">
        <f>'Model input'!$C$37*'Model input'!$C$41*'Model input'!$I$35</f>
        <v>76602.13141229203</v>
      </c>
      <c r="K62" s="301">
        <f>'Model input'!$C$37*'Model input'!$C$41*'Model input'!$I$35</f>
        <v>76602.13141229203</v>
      </c>
      <c r="L62" s="301">
        <f>'Model input'!$C$37*'Model input'!$C$41*'Model input'!$I$35</f>
        <v>76602.13141229203</v>
      </c>
      <c r="M62" s="301">
        <f>'Model input'!$C$37*'Model input'!$C$41*'Model input'!$I$35</f>
        <v>76602.13141229203</v>
      </c>
      <c r="R62" s="9"/>
    </row>
    <row r="63" spans="2:18" x14ac:dyDescent="0.3">
      <c r="B63" s="389"/>
      <c r="C63" s="302" t="s">
        <v>205</v>
      </c>
      <c r="D63" s="304" t="s">
        <v>194</v>
      </c>
      <c r="E63" s="304">
        <f>'Model input'!$C$40*'Model input'!$C$41*'Model input'!$I$35</f>
        <v>32226.370815700491</v>
      </c>
      <c r="F63" s="304">
        <f>'Model input'!$C$40*'Model input'!$C$41*'Model input'!$I$35</f>
        <v>32226.370815700491</v>
      </c>
      <c r="G63" s="304">
        <f>'Model input'!$C$40*'Model input'!$C$41*'Model input'!$I$35</f>
        <v>32226.370815700491</v>
      </c>
      <c r="H63" s="304">
        <f>'Model input'!$C$40*'Model input'!$C$41*'Model input'!$I$35</f>
        <v>32226.370815700491</v>
      </c>
      <c r="I63" s="304">
        <f>'Model input'!$C$40*'Model input'!$C$41*'Model input'!$I$35</f>
        <v>32226.370815700491</v>
      </c>
      <c r="J63" s="304">
        <f>'Model input'!$C$40*'Model input'!$C$41*'Model input'!$I$35</f>
        <v>32226.370815700491</v>
      </c>
      <c r="K63" s="304">
        <f>'Model input'!$C$40*'Model input'!$C$41*'Model input'!$I$35</f>
        <v>32226.370815700491</v>
      </c>
      <c r="L63" s="304">
        <f>'Model input'!$C$40*'Model input'!$C$41*'Model input'!$I$35</f>
        <v>32226.370815700491</v>
      </c>
      <c r="M63" s="304">
        <f>'Model input'!$C$40*'Model input'!$C$41*'Model input'!$I$35</f>
        <v>32226.370815700491</v>
      </c>
      <c r="R63" s="9"/>
    </row>
    <row r="64" spans="2:18" x14ac:dyDescent="0.3">
      <c r="B64" s="389"/>
      <c r="C64" s="302" t="s">
        <v>206</v>
      </c>
      <c r="D64" s="304" t="s">
        <v>194</v>
      </c>
      <c r="E64" s="304">
        <f t="shared" ref="E64:M64" si="11">E62-E63</f>
        <v>44375.760596591543</v>
      </c>
      <c r="F64" s="304">
        <f t="shared" si="11"/>
        <v>44375.760596591543</v>
      </c>
      <c r="G64" s="304">
        <f t="shared" si="11"/>
        <v>44375.760596591543</v>
      </c>
      <c r="H64" s="304">
        <f t="shared" si="11"/>
        <v>44375.760596591543</v>
      </c>
      <c r="I64" s="304">
        <f t="shared" si="11"/>
        <v>44375.760596591543</v>
      </c>
      <c r="J64" s="304">
        <f t="shared" si="11"/>
        <v>44375.760596591543</v>
      </c>
      <c r="K64" s="304">
        <f t="shared" si="11"/>
        <v>44375.760596591543</v>
      </c>
      <c r="L64" s="304">
        <f t="shared" si="11"/>
        <v>44375.760596591543</v>
      </c>
      <c r="M64" s="304">
        <f t="shared" si="11"/>
        <v>44375.760596591543</v>
      </c>
      <c r="R64" s="9"/>
    </row>
    <row r="65" spans="2:18" x14ac:dyDescent="0.3">
      <c r="B65" s="389"/>
      <c r="C65" s="302" t="s">
        <v>207</v>
      </c>
      <c r="D65" s="304" t="s">
        <v>194</v>
      </c>
      <c r="E65" s="304">
        <f>'Model input'!$C$42*'Model input'!$C$41*'Model input'!$I$35</f>
        <v>43498.033992540048</v>
      </c>
      <c r="F65" s="304">
        <f>'Model input'!$C$42*'Model input'!$C$41*'Model input'!$I$35</f>
        <v>43498.033992540048</v>
      </c>
      <c r="G65" s="304">
        <f>'Model input'!$C$42*'Model input'!$C$41*'Model input'!$I$35</f>
        <v>43498.033992540048</v>
      </c>
      <c r="H65" s="304">
        <f>'Model input'!$C$42*'Model input'!$C$41*'Model input'!$I$35</f>
        <v>43498.033992540048</v>
      </c>
      <c r="I65" s="304">
        <f>'Model input'!$C$42*'Model input'!$C$41*'Model input'!$I$35</f>
        <v>43498.033992540048</v>
      </c>
      <c r="J65" s="304">
        <f>'Model input'!$C$42*'Model input'!$C$41*'Model input'!$I$35</f>
        <v>43498.033992540048</v>
      </c>
      <c r="K65" s="304">
        <f>'Model input'!$C$42*'Model input'!$C$41*'Model input'!$I$35</f>
        <v>43498.033992540048</v>
      </c>
      <c r="L65" s="304">
        <f>'Model input'!$C$42*'Model input'!$C$41*'Model input'!$I$35</f>
        <v>43498.033992540048</v>
      </c>
      <c r="M65" s="304">
        <f>'Model input'!$C$42*'Model input'!$C$41*'Model input'!$I$35</f>
        <v>43498.033992540048</v>
      </c>
      <c r="R65" s="9"/>
    </row>
    <row r="66" spans="2:18" x14ac:dyDescent="0.3">
      <c r="B66" s="389"/>
      <c r="C66" s="294" t="s">
        <v>200</v>
      </c>
      <c r="D66" s="308">
        <v>0</v>
      </c>
      <c r="E66" s="308">
        <f t="shared" ref="E66:M66" si="12">E64-E65</f>
        <v>877.72660405149509</v>
      </c>
      <c r="F66" s="308">
        <f t="shared" si="12"/>
        <v>877.72660405149509</v>
      </c>
      <c r="G66" s="308">
        <f t="shared" si="12"/>
        <v>877.72660405149509</v>
      </c>
      <c r="H66" s="308">
        <f t="shared" si="12"/>
        <v>877.72660405149509</v>
      </c>
      <c r="I66" s="308">
        <f t="shared" si="12"/>
        <v>877.72660405149509</v>
      </c>
      <c r="J66" s="308">
        <f t="shared" si="12"/>
        <v>877.72660405149509</v>
      </c>
      <c r="K66" s="308">
        <f t="shared" si="12"/>
        <v>877.72660405149509</v>
      </c>
      <c r="L66" s="308">
        <f t="shared" si="12"/>
        <v>877.72660405149509</v>
      </c>
      <c r="M66" s="308">
        <f t="shared" si="12"/>
        <v>877.72660405149509</v>
      </c>
      <c r="R66" s="9"/>
    </row>
    <row r="67" spans="2:18" x14ac:dyDescent="0.3">
      <c r="B67" s="389"/>
      <c r="C67" s="358" t="s">
        <v>201</v>
      </c>
      <c r="D67" s="296">
        <v>0</v>
      </c>
      <c r="E67" s="296">
        <f>E66/(1+'Model input'!$C$12)^(E51-2024)</f>
        <v>797.93327641045005</v>
      </c>
      <c r="F67" s="296">
        <f>F66/(1+'Model input'!$C$12)^(F51-2024)</f>
        <v>725.39388764586363</v>
      </c>
      <c r="G67" s="296">
        <f>G66/(1+'Model input'!$C$12)^(G51-2024)</f>
        <v>659.44898876896684</v>
      </c>
      <c r="H67" s="296">
        <f>H66/(1+'Model input'!$C$12)^(H51-2024)</f>
        <v>599.49908069906076</v>
      </c>
      <c r="I67" s="296">
        <f>I66/(1+'Model input'!$C$12)^(I51-2024)</f>
        <v>544.99916427187338</v>
      </c>
      <c r="J67" s="296">
        <f>J66/(1+'Model input'!$C$12)^(J51-2024)</f>
        <v>495.453785701703</v>
      </c>
      <c r="K67" s="296">
        <f>K66/(1+'Model input'!$C$12)^(K51-2024)</f>
        <v>450.41253245609357</v>
      </c>
      <c r="L67" s="296">
        <f>L66/(1+'Model input'!$C$12)^(L51-2024)</f>
        <v>409.46593859644872</v>
      </c>
      <c r="M67" s="296">
        <f>M66/(1+'Model input'!$C$12)^(M51-2024)</f>
        <v>372.2417623604079</v>
      </c>
      <c r="R67" s="9"/>
    </row>
    <row r="68" spans="2:18" x14ac:dyDescent="0.3">
      <c r="B68" s="389"/>
      <c r="C68" s="294" t="s">
        <v>202</v>
      </c>
      <c r="D68" s="296">
        <v>0</v>
      </c>
      <c r="E68" s="296">
        <f>E67/('Model input'!$F$94/'Model input'!$C$94)</f>
        <v>684.97787342264246</v>
      </c>
      <c r="F68" s="296">
        <f>F67/('Model input'!$F$94/'Model input'!$C$94)</f>
        <v>622.70715765694763</v>
      </c>
      <c r="G68" s="296">
        <f>G67/('Model input'!$F$94/'Model input'!$C$94)</f>
        <v>566.09741605177044</v>
      </c>
      <c r="H68" s="296">
        <f>H67/('Model input'!$F$94/'Model input'!$C$94)</f>
        <v>514.63401459251861</v>
      </c>
      <c r="I68" s="296">
        <f>I67/('Model input'!$F$94/'Model input'!$C$94)</f>
        <v>467.84910417501692</v>
      </c>
      <c r="J68" s="296">
        <f>J67/('Model input'!$F$94/'Model input'!$C$94)</f>
        <v>425.31736743183347</v>
      </c>
      <c r="K68" s="296">
        <f>K67/('Model input'!$F$94/'Model input'!$C$94)</f>
        <v>386.65215221075766</v>
      </c>
      <c r="L68" s="296">
        <f>L67/('Model input'!$F$94/'Model input'!$C$94)</f>
        <v>351.50195655523424</v>
      </c>
      <c r="M68" s="296">
        <f>M67/('Model input'!$F$94/'Model input'!$C$94)</f>
        <v>319.54723323203109</v>
      </c>
      <c r="R68" s="9"/>
    </row>
    <row r="69" spans="2:18" ht="15" thickBot="1" x14ac:dyDescent="0.35">
      <c r="B69" s="390"/>
      <c r="C69" s="309" t="s">
        <v>203</v>
      </c>
      <c r="D69" s="311">
        <v>0</v>
      </c>
      <c r="E69" s="311">
        <f>E68*'Model input'!$D$99</f>
        <v>0.16165477812774362</v>
      </c>
      <c r="F69" s="311">
        <f>F68*'Model input'!$D$99</f>
        <v>0.14695888920703964</v>
      </c>
      <c r="G69" s="311">
        <f>G68*'Model input'!$D$99</f>
        <v>0.13359899018821783</v>
      </c>
      <c r="H69" s="311">
        <f>H68*'Model input'!$D$99</f>
        <v>0.12145362744383438</v>
      </c>
      <c r="I69" s="311">
        <f>I68*'Model input'!$D$99</f>
        <v>0.11041238858530399</v>
      </c>
      <c r="J69" s="311">
        <f>J68*'Model input'!$D$99</f>
        <v>0.1003748987139127</v>
      </c>
      <c r="K69" s="311">
        <f>K68*'Model input'!$D$99</f>
        <v>9.1249907921738801E-2</v>
      </c>
      <c r="L69" s="311">
        <f>L68*'Model input'!$D$99</f>
        <v>8.2954461747035274E-2</v>
      </c>
      <c r="M69" s="311">
        <f>M68*'Model input'!$D$99</f>
        <v>7.5413147042759338E-2</v>
      </c>
      <c r="R69" s="9"/>
    </row>
    <row r="70" spans="2:18" x14ac:dyDescent="0.3">
      <c r="B70" s="391" t="s">
        <v>55</v>
      </c>
      <c r="C70" s="312" t="s">
        <v>208</v>
      </c>
      <c r="D70" s="326" t="s">
        <v>194</v>
      </c>
      <c r="E70" s="314">
        <v>0</v>
      </c>
      <c r="F70" s="314">
        <v>0</v>
      </c>
      <c r="G70" s="314">
        <v>0</v>
      </c>
      <c r="H70" s="314">
        <v>7</v>
      </c>
      <c r="I70" s="314">
        <v>15</v>
      </c>
      <c r="J70" s="314">
        <v>21</v>
      </c>
      <c r="K70" s="314">
        <v>26</v>
      </c>
      <c r="L70" s="314">
        <v>29</v>
      </c>
      <c r="M70" s="314">
        <v>32</v>
      </c>
      <c r="R70" s="9"/>
    </row>
    <row r="71" spans="2:18" x14ac:dyDescent="0.3">
      <c r="B71" s="391"/>
      <c r="C71" s="312" t="s">
        <v>209</v>
      </c>
      <c r="D71" s="327" t="s">
        <v>194</v>
      </c>
      <c r="E71" s="315">
        <f>'Model input'!C46*'Model input'!C48</f>
        <v>0.35000000000000003</v>
      </c>
      <c r="F71" s="315">
        <f>E71*'Model input'!C47</f>
        <v>0.1225</v>
      </c>
      <c r="G71" s="315">
        <f>F71</f>
        <v>0.1225</v>
      </c>
      <c r="H71" s="315">
        <f t="shared" ref="H71:M71" si="13">G71</f>
        <v>0.1225</v>
      </c>
      <c r="I71" s="315">
        <f t="shared" si="13"/>
        <v>0.1225</v>
      </c>
      <c r="J71" s="315">
        <f t="shared" si="13"/>
        <v>0.1225</v>
      </c>
      <c r="K71" s="315">
        <f t="shared" si="13"/>
        <v>0.1225</v>
      </c>
      <c r="L71" s="315">
        <f t="shared" si="13"/>
        <v>0.1225</v>
      </c>
      <c r="M71" s="315">
        <f t="shared" si="13"/>
        <v>0.1225</v>
      </c>
      <c r="R71" s="9"/>
    </row>
    <row r="72" spans="2:18" x14ac:dyDescent="0.3">
      <c r="B72" s="391"/>
      <c r="C72" s="289" t="s">
        <v>210</v>
      </c>
      <c r="D72" s="291" t="s">
        <v>194</v>
      </c>
      <c r="E72" s="291">
        <f>E70*E71*'Model input'!$G73</f>
        <v>0</v>
      </c>
      <c r="F72" s="291">
        <f>F70*F71*'Model input'!$G73</f>
        <v>0</v>
      </c>
      <c r="G72" s="291">
        <f>G70*G71*'Model input'!$G73</f>
        <v>0</v>
      </c>
      <c r="H72" s="291">
        <f>H70*H71*'Model input'!$G73</f>
        <v>3429.9999999999995</v>
      </c>
      <c r="I72" s="291">
        <f>I70*I71*'Model input'!$G73</f>
        <v>7350</v>
      </c>
      <c r="J72" s="291">
        <f>J70*J71*'Model input'!$G73</f>
        <v>10290</v>
      </c>
      <c r="K72" s="291">
        <f>K70*K71*'Model input'!$G73</f>
        <v>12740</v>
      </c>
      <c r="L72" s="291">
        <f>L70*L71*'Model input'!$G73</f>
        <v>14209.999999999998</v>
      </c>
      <c r="M72" s="291">
        <f>M70*M71*'Model input'!$G73</f>
        <v>15680</v>
      </c>
      <c r="R72" s="9"/>
    </row>
    <row r="73" spans="2:18" x14ac:dyDescent="0.3">
      <c r="B73" s="391"/>
      <c r="C73" s="289" t="s">
        <v>211</v>
      </c>
      <c r="D73" s="318" t="s">
        <v>194</v>
      </c>
      <c r="E73" s="318">
        <f>0.1*'Model input'!$C$46*'Model input'!$C$48</f>
        <v>3.5000000000000003E-2</v>
      </c>
      <c r="F73" s="317">
        <f>0.1*'Model input'!$C$46*'Model input'!$C$48*'Model input'!$C$47</f>
        <v>1.225E-2</v>
      </c>
      <c r="G73" s="318">
        <f>0.1*'Model input'!$C$46*'Model input'!$C$48*'Model input'!$C$47</f>
        <v>1.225E-2</v>
      </c>
      <c r="H73" s="318">
        <f>0.1*'Model input'!$C$46*'Model input'!$C$48*'Model input'!$C$47</f>
        <v>1.225E-2</v>
      </c>
      <c r="I73" s="318">
        <f>0.3*'Model input'!$C$46*'Model input'!$C$48*'Model input'!$C$47</f>
        <v>3.6749999999999998E-2</v>
      </c>
      <c r="J73" s="318">
        <f>0.3*'Model input'!$C$46*'Model input'!$C$48*'Model input'!$C$47</f>
        <v>3.6749999999999998E-2</v>
      </c>
      <c r="K73" s="318">
        <f>0.3*'Model input'!$C$46*'Model input'!$C$48*'Model input'!$C$47</f>
        <v>3.6749999999999998E-2</v>
      </c>
      <c r="L73" s="318">
        <f>0.3*'Model input'!$C$46*'Model input'!$C$48*'Model input'!$C$47</f>
        <v>3.6749999999999998E-2</v>
      </c>
      <c r="M73" s="318">
        <f>0.3*'Model input'!$C$46*'Model input'!$C$48*'Model input'!$C$47</f>
        <v>3.6749999999999998E-2</v>
      </c>
      <c r="R73" s="9"/>
    </row>
    <row r="74" spans="2:18" x14ac:dyDescent="0.3">
      <c r="B74" s="391"/>
      <c r="C74" s="289" t="s">
        <v>197</v>
      </c>
      <c r="D74" s="291" t="s">
        <v>194</v>
      </c>
      <c r="E74" s="291">
        <f>'Model input'!$C$51*E73</f>
        <v>77.000000000000014</v>
      </c>
      <c r="F74" s="291">
        <f>'Model input'!$C$51*F73</f>
        <v>26.95</v>
      </c>
      <c r="G74" s="291">
        <f>'Model input'!$C$51*G73</f>
        <v>26.95</v>
      </c>
      <c r="H74" s="291">
        <f>'Model input'!$C$51*H73</f>
        <v>26.95</v>
      </c>
      <c r="I74" s="291">
        <f>'Model input'!$C$51*I73</f>
        <v>80.849999999999994</v>
      </c>
      <c r="J74" s="291">
        <f>'Model input'!$C$51*J73</f>
        <v>80.849999999999994</v>
      </c>
      <c r="K74" s="291">
        <f>'Model input'!$C$51*K73</f>
        <v>80.849999999999994</v>
      </c>
      <c r="L74" s="291">
        <f>'Model input'!$C$51*L73</f>
        <v>80.849999999999994</v>
      </c>
      <c r="M74" s="291">
        <f>'Model input'!$C$51*M73</f>
        <v>80.849999999999994</v>
      </c>
      <c r="R74" s="9"/>
    </row>
    <row r="75" spans="2:18" x14ac:dyDescent="0.3">
      <c r="B75" s="391"/>
      <c r="C75" s="289" t="s">
        <v>212</v>
      </c>
      <c r="D75" s="291" t="s">
        <v>194</v>
      </c>
      <c r="E75" s="291">
        <f>E74+('Model input'!$C$46*'Model input'!$C$48*'Model input'!$C$49)</f>
        <v>3577.0000000000005</v>
      </c>
      <c r="F75" s="291">
        <f>F74+('Model input'!$C$48*'Model input'!$C$50*'Model input'!$C$47*'Model input'!$C$46)</f>
        <v>590.45000000000005</v>
      </c>
      <c r="G75" s="291">
        <f>G74+('Model input'!$C$48*'Model input'!$C$50*'Model input'!$C$47*'Model input'!$C$46)</f>
        <v>590.45000000000005</v>
      </c>
      <c r="H75" s="291">
        <f>H74+('Model input'!$C$48*'Model input'!$C$50*'Model input'!$C$47*'Model input'!$C$46)</f>
        <v>590.45000000000005</v>
      </c>
      <c r="I75" s="291">
        <f>I74+('Model input'!$C$48*'Model input'!$C$50*'Model input'!$C$47*'Model input'!$C$46)</f>
        <v>644.35</v>
      </c>
      <c r="J75" s="291">
        <f>J74+('Model input'!$C$48*'Model input'!$C$50*'Model input'!$C$47*'Model input'!$C$46)</f>
        <v>644.35</v>
      </c>
      <c r="K75" s="291">
        <f>K74+('Model input'!$C$48*'Model input'!$C$50*'Model input'!$C$47*'Model input'!$C$46)</f>
        <v>644.35</v>
      </c>
      <c r="L75" s="304">
        <f>L74</f>
        <v>80.849999999999994</v>
      </c>
      <c r="M75" s="291">
        <f t="shared" ref="M75" si="14">M74</f>
        <v>80.849999999999994</v>
      </c>
      <c r="R75" s="9"/>
    </row>
    <row r="76" spans="2:18" x14ac:dyDescent="0.3">
      <c r="B76" s="391"/>
      <c r="C76" s="294" t="s">
        <v>200</v>
      </c>
      <c r="D76" s="296">
        <v>0</v>
      </c>
      <c r="E76" s="296">
        <f t="shared" ref="E76:M76" si="15">E72-E75</f>
        <v>-3577.0000000000005</v>
      </c>
      <c r="F76" s="296">
        <f t="shared" si="15"/>
        <v>-590.45000000000005</v>
      </c>
      <c r="G76" s="296">
        <f t="shared" si="15"/>
        <v>-590.45000000000005</v>
      </c>
      <c r="H76" s="296">
        <f t="shared" si="15"/>
        <v>2839.5499999999993</v>
      </c>
      <c r="I76" s="296">
        <f t="shared" si="15"/>
        <v>6705.65</v>
      </c>
      <c r="J76" s="296">
        <f t="shared" si="15"/>
        <v>9645.65</v>
      </c>
      <c r="K76" s="296">
        <f t="shared" si="15"/>
        <v>12095.65</v>
      </c>
      <c r="L76" s="296">
        <f t="shared" si="15"/>
        <v>14129.149999999998</v>
      </c>
      <c r="M76" s="296">
        <f t="shared" si="15"/>
        <v>15599.15</v>
      </c>
      <c r="R76" s="9"/>
    </row>
    <row r="77" spans="2:18" x14ac:dyDescent="0.3">
      <c r="B77" s="391"/>
      <c r="C77" s="294" t="s">
        <v>201</v>
      </c>
      <c r="D77" s="296">
        <v>0</v>
      </c>
      <c r="E77" s="296">
        <f>E76/(1+'Model input'!$C$12)^(E51-2024)</f>
        <v>-3251.818181818182</v>
      </c>
      <c r="F77" s="296">
        <f>F76/(1+'Model input'!$C$12)^(F51-2024)</f>
        <v>-487.97520661157023</v>
      </c>
      <c r="G77" s="296">
        <f>G76/(1+'Model input'!$C$12)^(G51-2024)</f>
        <v>-443.61382419233649</v>
      </c>
      <c r="H77" s="296">
        <f>H76/(1+'Model input'!$C$12)^(H51-2024)</f>
        <v>1939.4508571818856</v>
      </c>
      <c r="I77" s="296">
        <f>I76/(1+'Model input'!$C$12)^(I51-2024)</f>
        <v>4163.6810699716225</v>
      </c>
      <c r="J77" s="296">
        <f>J76/(1+'Model input'!$C$12)^(J51-2024)</f>
        <v>5444.7179634232152</v>
      </c>
      <c r="K77" s="296">
        <f>K76/(1+'Model input'!$C$12)^(K51-2024)</f>
        <v>6206.980992777244</v>
      </c>
      <c r="L77" s="296">
        <f>L76/(1+'Model input'!$C$12)^(L51-2024)</f>
        <v>6591.3527510903505</v>
      </c>
      <c r="M77" s="296">
        <f>M76/(1+'Model input'!$C$12)^(M51-2024)</f>
        <v>6615.5623636351438</v>
      </c>
      <c r="R77" s="9"/>
    </row>
    <row r="78" spans="2:18" x14ac:dyDescent="0.3">
      <c r="B78" s="391"/>
      <c r="C78" s="294" t="s">
        <v>202</v>
      </c>
      <c r="D78" s="296">
        <v>0</v>
      </c>
      <c r="E78" s="296">
        <f>E77/('Model input'!$F$94/'Model input'!$C$94)</f>
        <v>-2791.4909288645013</v>
      </c>
      <c r="F78" s="296">
        <f>F77/('Model input'!$F$94/'Model input'!$C$94)</f>
        <v>-418.89745570133545</v>
      </c>
      <c r="G78" s="296">
        <f>G77/('Model input'!$F$94/'Model input'!$C$94)</f>
        <v>-380.8158688193958</v>
      </c>
      <c r="H78" s="296">
        <f>H77/('Model input'!$F$94/'Model input'!$C$94)</f>
        <v>1664.9022706966412</v>
      </c>
      <c r="I78" s="296">
        <f>I77/('Model input'!$F$94/'Model input'!$C$94)</f>
        <v>3574.2705427066498</v>
      </c>
      <c r="J78" s="296">
        <f>J77/('Model input'!$F$94/'Model input'!$C$94)</f>
        <v>4673.9639042867366</v>
      </c>
      <c r="K78" s="296">
        <f>K77/('Model input'!$F$94/'Model input'!$C$94)</f>
        <v>5328.321009412708</v>
      </c>
      <c r="L78" s="296">
        <f>L77/('Model input'!$F$94/'Model input'!$C$94)</f>
        <v>5658.2811168510661</v>
      </c>
      <c r="M78" s="296">
        <f>M77/('Model input'!$F$94/'Model input'!$C$94)</f>
        <v>5679.0636176034086</v>
      </c>
      <c r="R78" s="9"/>
    </row>
    <row r="79" spans="2:18" ht="15" thickBot="1" x14ac:dyDescent="0.35">
      <c r="B79" s="391"/>
      <c r="C79" s="309" t="s">
        <v>203</v>
      </c>
      <c r="D79" s="311">
        <v>0</v>
      </c>
      <c r="E79" s="311">
        <f>E78*'Model input'!$D$99</f>
        <v>-0.65879185921202232</v>
      </c>
      <c r="F79" s="311">
        <f>F78*'Model input'!$D$99</f>
        <v>-9.8859799545515159E-2</v>
      </c>
      <c r="G79" s="311">
        <f>G78*'Model input'!$D$99</f>
        <v>-8.98725450413774E-2</v>
      </c>
      <c r="H79" s="311">
        <f>H78*'Model input'!$D$99</f>
        <v>0.39291693588440729</v>
      </c>
      <c r="I79" s="311">
        <f>I78*'Model input'!$D$99</f>
        <v>0.84352784807876935</v>
      </c>
      <c r="J79" s="311">
        <f>J78*'Model input'!$D$99</f>
        <v>1.1030554814116698</v>
      </c>
      <c r="K79" s="311">
        <f>K78*'Model input'!$D$99</f>
        <v>1.2574837582213991</v>
      </c>
      <c r="L79" s="311">
        <f>L78*'Model input'!$D$99</f>
        <v>1.3353543435768516</v>
      </c>
      <c r="M79" s="311">
        <f>M78*'Model input'!$D$99</f>
        <v>1.3402590137544044</v>
      </c>
      <c r="R79" s="9"/>
    </row>
    <row r="80" spans="2:18" x14ac:dyDescent="0.3">
      <c r="B80" s="394" t="s">
        <v>56</v>
      </c>
      <c r="C80" s="319" t="s">
        <v>209</v>
      </c>
      <c r="D80" s="320" t="s">
        <v>194</v>
      </c>
      <c r="E80" s="320" t="s">
        <v>194</v>
      </c>
      <c r="F80" s="161">
        <f>'Model input'!C55*'Model input'!C56</f>
        <v>36</v>
      </c>
      <c r="G80" s="161">
        <f>(F80*'Model input'!C57)+('Model input'!C55*'Model input'!C56)</f>
        <v>48.6</v>
      </c>
      <c r="H80" s="161">
        <f>F80*'Model input'!C57+'Model input'!C55*'Model input'!C56*'Model input'!C57</f>
        <v>25.2</v>
      </c>
      <c r="I80" s="161">
        <f>H80</f>
        <v>25.2</v>
      </c>
      <c r="J80" s="161">
        <f>I80</f>
        <v>25.2</v>
      </c>
      <c r="K80" s="161">
        <f>J80</f>
        <v>25.2</v>
      </c>
      <c r="L80" s="161">
        <f>K80</f>
        <v>25.2</v>
      </c>
      <c r="M80" s="161">
        <f>L80</f>
        <v>25.2</v>
      </c>
      <c r="R80" s="9"/>
    </row>
    <row r="81" spans="2:39" x14ac:dyDescent="0.3">
      <c r="B81" s="391"/>
      <c r="C81" s="312" t="s">
        <v>214</v>
      </c>
      <c r="D81" s="321" t="s">
        <v>194</v>
      </c>
      <c r="E81" s="321" t="s">
        <v>194</v>
      </c>
      <c r="F81" s="162">
        <v>0</v>
      </c>
      <c r="G81" s="162">
        <v>0</v>
      </c>
      <c r="H81" s="162">
        <v>0</v>
      </c>
      <c r="I81" s="162">
        <v>0</v>
      </c>
      <c r="J81" s="162">
        <v>10</v>
      </c>
      <c r="K81" s="162">
        <v>28.51</v>
      </c>
      <c r="L81" s="162">
        <v>28.51</v>
      </c>
      <c r="M81" s="162">
        <v>28.51</v>
      </c>
      <c r="R81" s="9"/>
    </row>
    <row r="82" spans="2:39" x14ac:dyDescent="0.3">
      <c r="B82" s="391"/>
      <c r="C82" s="289" t="s">
        <v>215</v>
      </c>
      <c r="D82" s="163" t="s">
        <v>194</v>
      </c>
      <c r="E82" s="163" t="s">
        <v>194</v>
      </c>
      <c r="F82" s="165">
        <f>F81*F80*'Model input'!$C$58</f>
        <v>0</v>
      </c>
      <c r="G82" s="165">
        <f>G81*G80*'Model input'!$C$58</f>
        <v>0</v>
      </c>
      <c r="H82" s="165">
        <f>H81*H80*'Model input'!$C$58</f>
        <v>0</v>
      </c>
      <c r="I82" s="165">
        <f>I81*I80*'Model input'!$C$58</f>
        <v>0</v>
      </c>
      <c r="J82" s="165">
        <f>J81*J80*'Model input'!$C$58</f>
        <v>91240.076589075034</v>
      </c>
      <c r="K82" s="165">
        <f>K81*K80*'Model input'!$C$58</f>
        <v>260125.45835545292</v>
      </c>
      <c r="L82" s="165">
        <f>L81*L80*'Model input'!$C$58</f>
        <v>260125.45835545292</v>
      </c>
      <c r="M82" s="165">
        <f>M81*M80*'Model input'!$C$58</f>
        <v>260125.45835545292</v>
      </c>
      <c r="R82" s="9"/>
    </row>
    <row r="83" spans="2:39" x14ac:dyDescent="0.3">
      <c r="B83" s="391"/>
      <c r="C83" s="375" t="s">
        <v>305</v>
      </c>
      <c r="D83" s="163" t="s">
        <v>194</v>
      </c>
      <c r="E83" s="163" t="s">
        <v>194</v>
      </c>
      <c r="F83" s="165">
        <v>0</v>
      </c>
      <c r="G83" s="165">
        <v>0</v>
      </c>
      <c r="H83" s="165">
        <v>0</v>
      </c>
      <c r="I83" s="165">
        <v>0</v>
      </c>
      <c r="J83" s="165">
        <v>0</v>
      </c>
      <c r="K83" s="165">
        <v>0</v>
      </c>
      <c r="L83" s="165">
        <v>0</v>
      </c>
      <c r="M83" s="165">
        <f>'Sensitivity analysis'!$C$15*M80*'Model input'!$C$60</f>
        <v>0</v>
      </c>
      <c r="R83" s="9"/>
    </row>
    <row r="84" spans="2:39" x14ac:dyDescent="0.3">
      <c r="B84" s="391"/>
      <c r="C84" s="375" t="s">
        <v>306</v>
      </c>
      <c r="D84" s="164" t="s">
        <v>194</v>
      </c>
      <c r="E84" s="164" t="s">
        <v>194</v>
      </c>
      <c r="F84" s="165">
        <f>'Sensitivity analysis'!$C$16*0.4*3400*F80</f>
        <v>0</v>
      </c>
      <c r="G84" s="165">
        <f>'Sensitivity analysis'!$C$16*0.4*3400*G80</f>
        <v>0</v>
      </c>
      <c r="H84" s="165">
        <f>'Sensitivity analysis'!$C$16*0.4*3400*H80</f>
        <v>0</v>
      </c>
      <c r="I84" s="165">
        <f>'Sensitivity analysis'!$C$16*0.4*3400*I80</f>
        <v>0</v>
      </c>
      <c r="J84" s="165">
        <f>'Sensitivity analysis'!$C$16*0.4*3400*J80</f>
        <v>0</v>
      </c>
      <c r="K84" s="165">
        <f>'Sensitivity analysis'!$C$16*0.4*3400*K80</f>
        <v>0</v>
      </c>
      <c r="L84" s="165">
        <f>'Sensitivity analysis'!$C$16*0.4*3400*L80</f>
        <v>0</v>
      </c>
      <c r="M84" s="165">
        <f>'Sensitivity analysis'!$C$16*0.17*3400*M80</f>
        <v>0</v>
      </c>
      <c r="R84" s="9"/>
    </row>
    <row r="85" spans="2:39" x14ac:dyDescent="0.3">
      <c r="B85" s="391"/>
      <c r="C85" s="294" t="s">
        <v>200</v>
      </c>
      <c r="D85" s="296">
        <v>0</v>
      </c>
      <c r="E85" s="296">
        <v>0</v>
      </c>
      <c r="F85" s="296">
        <f>F82+F83-F84</f>
        <v>0</v>
      </c>
      <c r="G85" s="296">
        <f t="shared" ref="G85:M85" si="16">G82+G83-G84</f>
        <v>0</v>
      </c>
      <c r="H85" s="296">
        <f t="shared" si="16"/>
        <v>0</v>
      </c>
      <c r="I85" s="296">
        <f t="shared" si="16"/>
        <v>0</v>
      </c>
      <c r="J85" s="296">
        <f t="shared" si="16"/>
        <v>91240.076589075034</v>
      </c>
      <c r="K85" s="296">
        <f t="shared" si="16"/>
        <v>260125.45835545292</v>
      </c>
      <c r="L85" s="296">
        <f t="shared" si="16"/>
        <v>260125.45835545292</v>
      </c>
      <c r="M85" s="296">
        <f t="shared" si="16"/>
        <v>260125.45835545292</v>
      </c>
      <c r="R85" s="9"/>
    </row>
    <row r="86" spans="2:39" x14ac:dyDescent="0.3">
      <c r="B86" s="391"/>
      <c r="C86" s="294" t="s">
        <v>201</v>
      </c>
      <c r="D86" s="296">
        <v>0</v>
      </c>
      <c r="E86" s="296">
        <v>0</v>
      </c>
      <c r="F86" s="296">
        <f>F85/(1+'Model input'!$C$12)^(F$51-2024)</f>
        <v>0</v>
      </c>
      <c r="G86" s="296">
        <f>G85/(1+'Model input'!$C$12)^(G$51-2024)</f>
        <v>0</v>
      </c>
      <c r="H86" s="296">
        <f>H85/(1+'Model input'!$C$12)^(H$51-2024)</f>
        <v>0</v>
      </c>
      <c r="I86" s="296">
        <f>I85/(1+'Model input'!$C$12)^(I$51-2024)</f>
        <v>0</v>
      </c>
      <c r="J86" s="296">
        <f>J85/(1+'Model input'!$C$12)^(J$51-2024)</f>
        <v>51502.644610642812</v>
      </c>
      <c r="K86" s="296">
        <f>K85/(1+'Model input'!$C$12)^(K$51-2024)</f>
        <v>133485.49071358421</v>
      </c>
      <c r="L86" s="296">
        <f>L85/(1+'Model input'!$C$12)^(L$51-2024)</f>
        <v>121350.44610325839</v>
      </c>
      <c r="M86" s="296">
        <f>M85/(1+'Model input'!$C$12)^(M$51-2024)</f>
        <v>110318.58736659853</v>
      </c>
      <c r="R86" s="9"/>
    </row>
    <row r="87" spans="2:39" x14ac:dyDescent="0.3">
      <c r="B87" s="391"/>
      <c r="C87" s="294" t="s">
        <v>202</v>
      </c>
      <c r="D87" s="296">
        <v>0</v>
      </c>
      <c r="E87" s="296">
        <v>0</v>
      </c>
      <c r="F87" s="296">
        <f>F86/('Model input'!$F$94/'Model input'!$C$94)</f>
        <v>0</v>
      </c>
      <c r="G87" s="296">
        <f>G86/('Model input'!$F$94/'Model input'!$C$94)</f>
        <v>0</v>
      </c>
      <c r="H87" s="296">
        <f>H86/('Model input'!$F$94/'Model input'!$C$94)</f>
        <v>0</v>
      </c>
      <c r="I87" s="296">
        <f>I86/('Model input'!$F$94/'Model input'!$C$94)</f>
        <v>0</v>
      </c>
      <c r="J87" s="296">
        <f>J86/('Model input'!$F$94/'Model input'!$C$94)</f>
        <v>44211.932280529982</v>
      </c>
      <c r="K87" s="296">
        <f>K86/('Model input'!$F$94/'Model input'!$C$94)</f>
        <v>114589.28993799178</v>
      </c>
      <c r="L87" s="296">
        <f>L86/('Model input'!$F$94/'Model input'!$C$94)</f>
        <v>104172.08176181072</v>
      </c>
      <c r="M87" s="296">
        <f>M86/('Model input'!$F$94/'Model input'!$C$94)</f>
        <v>94701.892510737016</v>
      </c>
      <c r="R87" s="9"/>
    </row>
    <row r="88" spans="2:39" ht="15" thickBot="1" x14ac:dyDescent="0.35">
      <c r="B88" s="395"/>
      <c r="C88" s="309" t="s">
        <v>203</v>
      </c>
      <c r="D88" s="311">
        <v>0</v>
      </c>
      <c r="E88" s="311">
        <v>0</v>
      </c>
      <c r="F88" s="311">
        <f>F87*'Model input'!$D$99</f>
        <v>0</v>
      </c>
      <c r="G88" s="311">
        <f>G87*'Model input'!$D$99</f>
        <v>0</v>
      </c>
      <c r="H88" s="311">
        <f>H87*'Model input'!$D$99</f>
        <v>0</v>
      </c>
      <c r="I88" s="311">
        <f>I87*'Model input'!$D$99</f>
        <v>0</v>
      </c>
      <c r="J88" s="311">
        <f>J87*'Model input'!$D$99</f>
        <v>10.434016018205075</v>
      </c>
      <c r="K88" s="311">
        <f>K87*'Model input'!$D$99</f>
        <v>27.043072425366059</v>
      </c>
      <c r="L88" s="311">
        <f>L87*'Model input'!$D$99</f>
        <v>24.58461129578733</v>
      </c>
      <c r="M88" s="311">
        <f>M87*'Model input'!$D$99</f>
        <v>22.349646632533936</v>
      </c>
      <c r="R88" s="9"/>
    </row>
    <row r="89" spans="2:39" x14ac:dyDescent="0.3">
      <c r="B89" s="392" t="s">
        <v>216</v>
      </c>
      <c r="C89" s="393"/>
      <c r="D89" s="177">
        <f t="shared" ref="D89:M89" si="17">D58+D66+D76+D85</f>
        <v>38857.051213959938</v>
      </c>
      <c r="E89" s="177">
        <f t="shared" si="17"/>
        <v>479220.69420677092</v>
      </c>
      <c r="F89" s="177">
        <f t="shared" si="17"/>
        <v>363449.71254025906</v>
      </c>
      <c r="G89" s="177">
        <f t="shared" si="17"/>
        <v>336975.59048161138</v>
      </c>
      <c r="H89" s="177">
        <f t="shared" si="17"/>
        <v>315864.07933324494</v>
      </c>
      <c r="I89" s="177">
        <f t="shared" si="17"/>
        <v>296980.19849870936</v>
      </c>
      <c r="J89" s="177">
        <f t="shared" si="17"/>
        <v>370071.04285416985</v>
      </c>
      <c r="K89" s="177">
        <f t="shared" si="17"/>
        <v>521856.70633998699</v>
      </c>
      <c r="L89" s="177">
        <f t="shared" si="17"/>
        <v>505767.61749390711</v>
      </c>
      <c r="M89" s="177">
        <f t="shared" si="17"/>
        <v>490437.97763359128</v>
      </c>
      <c r="R89" s="9"/>
    </row>
    <row r="90" spans="2:39" x14ac:dyDescent="0.3">
      <c r="B90" s="392" t="s">
        <v>217</v>
      </c>
      <c r="C90" s="393"/>
      <c r="D90" s="177">
        <f t="shared" ref="D90:M90" si="18">D60+D68+D78+D87</f>
        <v>33356.44858395632</v>
      </c>
      <c r="E90" s="177">
        <f t="shared" si="18"/>
        <v>373983.84702330158</v>
      </c>
      <c r="F90" s="177">
        <f t="shared" si="18"/>
        <v>257851.0625090969</v>
      </c>
      <c r="G90" s="177">
        <f t="shared" si="18"/>
        <v>217335.34128238421</v>
      </c>
      <c r="H90" s="177">
        <f t="shared" si="18"/>
        <v>185199.35303601756</v>
      </c>
      <c r="I90" s="177">
        <f t="shared" si="18"/>
        <v>158297.49170641333</v>
      </c>
      <c r="J90" s="177">
        <f t="shared" si="18"/>
        <v>179324.2234916403</v>
      </c>
      <c r="K90" s="177">
        <f t="shared" si="18"/>
        <v>229885.95505774973</v>
      </c>
      <c r="L90" s="177">
        <f t="shared" si="18"/>
        <v>202544.05676070595</v>
      </c>
      <c r="M90" s="177">
        <f t="shared" si="18"/>
        <v>178550.01557584369</v>
      </c>
      <c r="R90" s="9"/>
    </row>
    <row r="91" spans="2:39" x14ac:dyDescent="0.3">
      <c r="B91" s="401" t="s">
        <v>218</v>
      </c>
      <c r="C91" s="401"/>
      <c r="D91" s="177">
        <f t="shared" ref="D91:M91" si="19">D61+D69+D79+D88</f>
        <v>7.8721218658136909</v>
      </c>
      <c r="E91" s="177">
        <f t="shared" si="19"/>
        <v>88.260187897499165</v>
      </c>
      <c r="F91" s="177">
        <f t="shared" si="19"/>
        <v>60.852850752146864</v>
      </c>
      <c r="G91" s="177">
        <f t="shared" si="19"/>
        <v>51.291140542642665</v>
      </c>
      <c r="H91" s="177">
        <f t="shared" si="19"/>
        <v>43.707047316500145</v>
      </c>
      <c r="I91" s="177">
        <f t="shared" si="19"/>
        <v>37.358208042713542</v>
      </c>
      <c r="J91" s="177">
        <f t="shared" si="19"/>
        <v>42.320516744027103</v>
      </c>
      <c r="K91" s="177">
        <f t="shared" si="19"/>
        <v>54.253085393628936</v>
      </c>
      <c r="L91" s="177">
        <f t="shared" si="19"/>
        <v>47.800397395526602</v>
      </c>
      <c r="M91" s="177">
        <f t="shared" si="19"/>
        <v>42.137803675899114</v>
      </c>
      <c r="R91" s="9"/>
    </row>
    <row r="92" spans="2:39" hidden="1" x14ac:dyDescent="0.3">
      <c r="B92" s="9"/>
      <c r="R92" s="9"/>
    </row>
    <row r="93" spans="2:39" hidden="1" x14ac:dyDescent="0.3">
      <c r="B93" s="402" t="s">
        <v>220</v>
      </c>
      <c r="C93" s="402"/>
      <c r="D93" s="403">
        <f>SUM(D91:M91)</f>
        <v>475.85335962639783</v>
      </c>
      <c r="E93" s="404"/>
      <c r="F93" s="404"/>
      <c r="R93" s="9"/>
    </row>
    <row r="94" spans="2:39" hidden="1" x14ac:dyDescent="0.3">
      <c r="B94" s="402"/>
      <c r="C94" s="402"/>
      <c r="D94" s="404"/>
      <c r="E94" s="404"/>
      <c r="F94" s="404"/>
      <c r="R94" s="9"/>
    </row>
    <row r="95" spans="2:39" ht="25.8" x14ac:dyDescent="0.3">
      <c r="B95" s="72"/>
      <c r="C95" s="72"/>
      <c r="D95" s="68"/>
      <c r="E95" s="68"/>
      <c r="F95" s="68"/>
      <c r="R95" s="9"/>
    </row>
    <row r="96" spans="2:39" s="32" customFormat="1" ht="19.350000000000001" customHeight="1" x14ac:dyDescent="0.35">
      <c r="B96" s="160" t="s">
        <v>221</v>
      </c>
      <c r="C96" s="73"/>
      <c r="D96" s="74"/>
      <c r="E96" s="74"/>
      <c r="F96" s="74"/>
      <c r="R96" s="9"/>
      <c r="S96"/>
      <c r="T96"/>
      <c r="U96"/>
      <c r="V96"/>
      <c r="W96"/>
      <c r="X96"/>
      <c r="Y96"/>
      <c r="Z96"/>
      <c r="AA96"/>
      <c r="AB96"/>
      <c r="AC96"/>
      <c r="AD96"/>
      <c r="AE96"/>
      <c r="AF96"/>
      <c r="AG96"/>
      <c r="AH96"/>
      <c r="AI96"/>
      <c r="AJ96"/>
      <c r="AK96"/>
      <c r="AL96"/>
      <c r="AM96"/>
    </row>
    <row r="97" spans="2:28" ht="15" customHeight="1" x14ac:dyDescent="0.35">
      <c r="B97" s="167"/>
      <c r="C97" s="72"/>
      <c r="D97" s="68"/>
      <c r="E97" s="68"/>
      <c r="F97" s="68"/>
      <c r="R97" s="9"/>
    </row>
    <row r="98" spans="2:28" ht="15" customHeight="1" x14ac:dyDescent="0.3">
      <c r="B98" s="72"/>
      <c r="C98" s="72" t="s">
        <v>222</v>
      </c>
      <c r="D98" s="68"/>
      <c r="E98" s="68"/>
      <c r="F98" s="90"/>
      <c r="G98" s="76"/>
      <c r="R98" s="9"/>
    </row>
    <row r="99" spans="2:28" ht="15.75" customHeight="1" x14ac:dyDescent="0.3">
      <c r="C99" s="415" t="s">
        <v>223</v>
      </c>
      <c r="D99" s="405" t="s">
        <v>224</v>
      </c>
      <c r="E99" s="406"/>
      <c r="F99" s="406"/>
      <c r="G99" s="407"/>
      <c r="H99" s="88" t="s">
        <v>225</v>
      </c>
      <c r="I99" s="89"/>
      <c r="J99" s="89"/>
      <c r="K99" s="89"/>
      <c r="L99" s="89"/>
      <c r="M99" s="89"/>
      <c r="N99" s="89"/>
      <c r="O99" s="89"/>
      <c r="P99" s="89"/>
      <c r="R99" s="9"/>
    </row>
    <row r="100" spans="2:28" x14ac:dyDescent="0.3">
      <c r="C100" s="415"/>
      <c r="D100" s="178">
        <v>2024</v>
      </c>
      <c r="E100" s="178">
        <v>2025</v>
      </c>
      <c r="F100" s="178">
        <v>2026</v>
      </c>
      <c r="G100" s="178">
        <v>2027</v>
      </c>
      <c r="H100" s="178">
        <v>2028</v>
      </c>
      <c r="I100" s="178">
        <v>2029</v>
      </c>
      <c r="J100" s="178">
        <v>2030</v>
      </c>
      <c r="K100" s="178">
        <v>2031</v>
      </c>
      <c r="L100" s="178">
        <v>2032</v>
      </c>
      <c r="M100" s="178">
        <v>2033</v>
      </c>
      <c r="N100" s="178">
        <v>2034</v>
      </c>
      <c r="O100" s="178">
        <v>2035</v>
      </c>
      <c r="P100" s="178">
        <v>2036</v>
      </c>
      <c r="R100" s="9"/>
    </row>
    <row r="101" spans="2:28" x14ac:dyDescent="0.3">
      <c r="B101" s="76"/>
      <c r="C101" s="328">
        <v>1</v>
      </c>
      <c r="D101" s="296">
        <f>'Model input'!C81</f>
        <v>0</v>
      </c>
      <c r="E101" s="296">
        <f>'Model input'!D81</f>
        <v>7275</v>
      </c>
      <c r="F101" s="296">
        <f>'Model input'!E81-SUM(F102:F110)</f>
        <v>9093.75</v>
      </c>
      <c r="G101" s="296">
        <f>'Model input'!F81-SUM(G102:G110)</f>
        <v>18187.5</v>
      </c>
      <c r="H101" s="305">
        <v>0</v>
      </c>
      <c r="I101" s="305">
        <v>0</v>
      </c>
      <c r="J101" s="305">
        <v>0</v>
      </c>
      <c r="K101" s="305">
        <v>0</v>
      </c>
      <c r="L101" s="305">
        <v>0</v>
      </c>
      <c r="M101" s="305">
        <v>0</v>
      </c>
      <c r="N101" s="305">
        <v>0</v>
      </c>
      <c r="O101" s="305">
        <v>0</v>
      </c>
      <c r="P101" s="305">
        <v>0</v>
      </c>
      <c r="R101" s="9"/>
    </row>
    <row r="102" spans="2:28" x14ac:dyDescent="0.3">
      <c r="C102" s="328">
        <v>2</v>
      </c>
      <c r="D102" s="296">
        <v>0</v>
      </c>
      <c r="E102" s="296">
        <v>0</v>
      </c>
      <c r="F102" s="296">
        <f>E101*'Model input'!$C$89</f>
        <v>5456.25</v>
      </c>
      <c r="G102" s="296">
        <f>F101*'Model input'!$C$89</f>
        <v>6820.3125</v>
      </c>
      <c r="H102" s="305">
        <f>G101*'Model input'!$C$89</f>
        <v>13640.625</v>
      </c>
      <c r="I102" s="305">
        <v>0</v>
      </c>
      <c r="J102" s="305">
        <v>0</v>
      </c>
      <c r="K102" s="305">
        <v>0</v>
      </c>
      <c r="L102" s="305">
        <v>0</v>
      </c>
      <c r="M102" s="305">
        <v>0</v>
      </c>
      <c r="N102" s="305">
        <v>0</v>
      </c>
      <c r="O102" s="305">
        <v>0</v>
      </c>
      <c r="P102" s="305">
        <v>0</v>
      </c>
      <c r="R102" s="9"/>
    </row>
    <row r="103" spans="2:28" x14ac:dyDescent="0.3">
      <c r="C103" s="328">
        <v>3</v>
      </c>
      <c r="D103" s="296">
        <v>0</v>
      </c>
      <c r="E103" s="296">
        <v>0</v>
      </c>
      <c r="F103" s="296">
        <v>0</v>
      </c>
      <c r="G103" s="296">
        <f>F102*'Model input'!$C$89</f>
        <v>4092.1875</v>
      </c>
      <c r="H103" s="305">
        <f>G102*'Model input'!$C$89</f>
        <v>5115.234375</v>
      </c>
      <c r="I103" s="305">
        <f>H102*'Model input'!$C$89</f>
        <v>10230.46875</v>
      </c>
      <c r="J103" s="305">
        <f t="shared" ref="I103:N110" si="20">I102</f>
        <v>0</v>
      </c>
      <c r="K103" s="305">
        <f t="shared" si="20"/>
        <v>0</v>
      </c>
      <c r="L103" s="305">
        <f t="shared" si="20"/>
        <v>0</v>
      </c>
      <c r="M103" s="305">
        <f t="shared" si="20"/>
        <v>0</v>
      </c>
      <c r="N103" s="305">
        <f t="shared" si="20"/>
        <v>0</v>
      </c>
      <c r="O103" s="305">
        <f t="shared" ref="O103:O107" si="21">N102</f>
        <v>0</v>
      </c>
      <c r="P103" s="305">
        <f t="shared" ref="P103:P107" si="22">O102</f>
        <v>0</v>
      </c>
      <c r="R103" s="9"/>
    </row>
    <row r="104" spans="2:28" x14ac:dyDescent="0.3">
      <c r="C104" s="328">
        <v>4</v>
      </c>
      <c r="D104" s="296">
        <v>0</v>
      </c>
      <c r="E104" s="296">
        <v>0</v>
      </c>
      <c r="F104" s="296">
        <v>0</v>
      </c>
      <c r="G104" s="296">
        <v>0</v>
      </c>
      <c r="H104" s="305">
        <f>G103</f>
        <v>4092.1875</v>
      </c>
      <c r="I104" s="305">
        <f>H103</f>
        <v>5115.234375</v>
      </c>
      <c r="J104" s="305">
        <f>I103</f>
        <v>10230.46875</v>
      </c>
      <c r="K104" s="305">
        <f t="shared" si="20"/>
        <v>0</v>
      </c>
      <c r="L104" s="305">
        <f t="shared" si="20"/>
        <v>0</v>
      </c>
      <c r="M104" s="305">
        <f t="shared" si="20"/>
        <v>0</v>
      </c>
      <c r="N104" s="305">
        <f t="shared" si="20"/>
        <v>0</v>
      </c>
      <c r="O104" s="305">
        <f t="shared" si="21"/>
        <v>0</v>
      </c>
      <c r="P104" s="305">
        <f t="shared" si="22"/>
        <v>0</v>
      </c>
      <c r="R104" s="9"/>
    </row>
    <row r="105" spans="2:28" x14ac:dyDescent="0.3">
      <c r="C105" s="328">
        <v>5</v>
      </c>
      <c r="D105" s="296">
        <v>0</v>
      </c>
      <c r="E105" s="296">
        <v>0</v>
      </c>
      <c r="F105" s="296">
        <v>0</v>
      </c>
      <c r="G105" s="296">
        <v>0</v>
      </c>
      <c r="H105" s="305">
        <f t="shared" ref="H105:H110" si="23">G104</f>
        <v>0</v>
      </c>
      <c r="I105" s="305">
        <f>H104</f>
        <v>4092.1875</v>
      </c>
      <c r="J105" s="305">
        <f>I104</f>
        <v>5115.234375</v>
      </c>
      <c r="K105" s="305">
        <f>J104</f>
        <v>10230.46875</v>
      </c>
      <c r="L105" s="305">
        <f t="shared" si="20"/>
        <v>0</v>
      </c>
      <c r="M105" s="305">
        <f t="shared" si="20"/>
        <v>0</v>
      </c>
      <c r="N105" s="305">
        <f t="shared" si="20"/>
        <v>0</v>
      </c>
      <c r="O105" s="305">
        <f t="shared" si="21"/>
        <v>0</v>
      </c>
      <c r="P105" s="305">
        <f t="shared" si="22"/>
        <v>0</v>
      </c>
      <c r="R105" s="9"/>
    </row>
    <row r="106" spans="2:28" x14ac:dyDescent="0.3">
      <c r="C106" s="328">
        <v>6</v>
      </c>
      <c r="D106" s="296">
        <v>0</v>
      </c>
      <c r="E106" s="296">
        <v>0</v>
      </c>
      <c r="F106" s="296">
        <v>0</v>
      </c>
      <c r="G106" s="296">
        <v>0</v>
      </c>
      <c r="H106" s="305">
        <f t="shared" si="23"/>
        <v>0</v>
      </c>
      <c r="I106" s="305">
        <f t="shared" si="20"/>
        <v>0</v>
      </c>
      <c r="J106" s="305">
        <f>I105</f>
        <v>4092.1875</v>
      </c>
      <c r="K106" s="305">
        <f>J105</f>
        <v>5115.234375</v>
      </c>
      <c r="L106" s="305">
        <f>K105</f>
        <v>10230.46875</v>
      </c>
      <c r="M106" s="305">
        <f t="shared" si="20"/>
        <v>0</v>
      </c>
      <c r="N106" s="305">
        <f t="shared" si="20"/>
        <v>0</v>
      </c>
      <c r="O106" s="305">
        <f t="shared" si="21"/>
        <v>0</v>
      </c>
      <c r="P106" s="305">
        <f t="shared" si="22"/>
        <v>0</v>
      </c>
      <c r="R106" s="9"/>
    </row>
    <row r="107" spans="2:28" x14ac:dyDescent="0.3">
      <c r="C107" s="328">
        <v>7</v>
      </c>
      <c r="D107" s="296">
        <v>0</v>
      </c>
      <c r="E107" s="296">
        <v>0</v>
      </c>
      <c r="F107" s="296">
        <v>0</v>
      </c>
      <c r="G107" s="296">
        <v>0</v>
      </c>
      <c r="H107" s="305">
        <f t="shared" si="23"/>
        <v>0</v>
      </c>
      <c r="I107" s="305">
        <f t="shared" si="20"/>
        <v>0</v>
      </c>
      <c r="J107" s="305">
        <f t="shared" si="20"/>
        <v>0</v>
      </c>
      <c r="K107" s="305">
        <f>J106</f>
        <v>4092.1875</v>
      </c>
      <c r="L107" s="305">
        <f>K106</f>
        <v>5115.234375</v>
      </c>
      <c r="M107" s="305">
        <f>L106</f>
        <v>10230.46875</v>
      </c>
      <c r="N107" s="305">
        <f>M106</f>
        <v>0</v>
      </c>
      <c r="O107" s="305">
        <f t="shared" si="21"/>
        <v>0</v>
      </c>
      <c r="P107" s="305">
        <f t="shared" si="22"/>
        <v>0</v>
      </c>
      <c r="R107" s="9"/>
    </row>
    <row r="108" spans="2:28" x14ac:dyDescent="0.3">
      <c r="C108" s="328">
        <v>8</v>
      </c>
      <c r="D108" s="296">
        <v>0</v>
      </c>
      <c r="E108" s="296">
        <v>0</v>
      </c>
      <c r="F108" s="296">
        <v>0</v>
      </c>
      <c r="G108" s="296">
        <v>0</v>
      </c>
      <c r="H108" s="305">
        <f t="shared" si="23"/>
        <v>0</v>
      </c>
      <c r="I108" s="305">
        <f t="shared" si="20"/>
        <v>0</v>
      </c>
      <c r="J108" s="305">
        <f t="shared" si="20"/>
        <v>0</v>
      </c>
      <c r="K108" s="305">
        <f t="shared" si="20"/>
        <v>0</v>
      </c>
      <c r="L108" s="305">
        <f>K107</f>
        <v>4092.1875</v>
      </c>
      <c r="M108" s="305">
        <f>L107</f>
        <v>5115.234375</v>
      </c>
      <c r="N108" s="305">
        <f>M107</f>
        <v>10230.46875</v>
      </c>
      <c r="O108" s="305">
        <f>N107</f>
        <v>0</v>
      </c>
      <c r="P108" s="305">
        <f>O107</f>
        <v>0</v>
      </c>
      <c r="R108" s="9"/>
    </row>
    <row r="109" spans="2:28" x14ac:dyDescent="0.3">
      <c r="C109" s="328">
        <v>9</v>
      </c>
      <c r="D109" s="296">
        <v>0</v>
      </c>
      <c r="E109" s="296">
        <v>0</v>
      </c>
      <c r="F109" s="296">
        <v>0</v>
      </c>
      <c r="G109" s="296">
        <v>0</v>
      </c>
      <c r="H109" s="305">
        <f t="shared" si="23"/>
        <v>0</v>
      </c>
      <c r="I109" s="305">
        <f t="shared" si="20"/>
        <v>0</v>
      </c>
      <c r="J109" s="305">
        <f t="shared" si="20"/>
        <v>0</v>
      </c>
      <c r="K109" s="305">
        <f t="shared" si="20"/>
        <v>0</v>
      </c>
      <c r="L109" s="305">
        <f t="shared" si="20"/>
        <v>0</v>
      </c>
      <c r="M109" s="305">
        <f>L108</f>
        <v>4092.1875</v>
      </c>
      <c r="N109" s="329">
        <f>M108</f>
        <v>5115.234375</v>
      </c>
      <c r="O109" s="329">
        <f>N108</f>
        <v>10230.46875</v>
      </c>
      <c r="P109" s="305">
        <f>O108</f>
        <v>0</v>
      </c>
      <c r="R109" s="9"/>
    </row>
    <row r="110" spans="2:28" x14ac:dyDescent="0.3">
      <c r="C110" s="328">
        <v>10</v>
      </c>
      <c r="D110" s="296">
        <v>0</v>
      </c>
      <c r="E110" s="296">
        <v>0</v>
      </c>
      <c r="F110" s="296">
        <v>0</v>
      </c>
      <c r="G110" s="296">
        <v>0</v>
      </c>
      <c r="H110" s="305">
        <f t="shared" si="23"/>
        <v>0</v>
      </c>
      <c r="I110" s="305">
        <f t="shared" si="20"/>
        <v>0</v>
      </c>
      <c r="J110" s="305">
        <f t="shared" si="20"/>
        <v>0</v>
      </c>
      <c r="K110" s="305">
        <f t="shared" si="20"/>
        <v>0</v>
      </c>
      <c r="L110" s="305">
        <f t="shared" si="20"/>
        <v>0</v>
      </c>
      <c r="M110" s="305">
        <f t="shared" si="20"/>
        <v>0</v>
      </c>
      <c r="N110" s="305">
        <f>M109</f>
        <v>4092.1875</v>
      </c>
      <c r="O110" s="305">
        <f>N109</f>
        <v>5115.234375</v>
      </c>
      <c r="P110" s="305">
        <f>O109</f>
        <v>10230.46875</v>
      </c>
      <c r="R110" s="9"/>
    </row>
    <row r="111" spans="2:28" ht="25.8" x14ac:dyDescent="0.35">
      <c r="B111" s="72"/>
      <c r="C111" s="72"/>
      <c r="D111" s="68"/>
      <c r="E111" s="68"/>
      <c r="F111" s="68"/>
      <c r="G111" s="76"/>
      <c r="M111" s="13"/>
      <c r="N111" s="13"/>
      <c r="O111" s="13"/>
      <c r="P111" s="13"/>
      <c r="Q111" s="13"/>
      <c r="R111" s="197"/>
      <c r="S111" s="13"/>
      <c r="T111" s="13"/>
      <c r="U111" s="13"/>
      <c r="V111" s="13"/>
      <c r="W111" s="13"/>
      <c r="X111" s="13"/>
      <c r="Y111" s="13"/>
      <c r="Z111" s="13"/>
      <c r="AA111" s="13"/>
      <c r="AB111" s="13"/>
    </row>
    <row r="112" spans="2:28" ht="17.25" customHeight="1" x14ac:dyDescent="0.3">
      <c r="B112" s="72"/>
      <c r="C112" s="72" t="s">
        <v>52</v>
      </c>
      <c r="D112" s="68"/>
      <c r="E112" s="68"/>
      <c r="F112" s="68"/>
      <c r="G112" s="76"/>
      <c r="R112" s="9"/>
    </row>
    <row r="113" spans="2:39" ht="15.6" x14ac:dyDescent="0.3">
      <c r="C113" s="415" t="s">
        <v>223</v>
      </c>
      <c r="D113" s="398" t="s">
        <v>224</v>
      </c>
      <c r="E113" s="399"/>
      <c r="F113" s="399"/>
      <c r="G113" s="400"/>
      <c r="H113" s="422" t="s">
        <v>225</v>
      </c>
      <c r="I113" s="423"/>
      <c r="J113" s="423"/>
      <c r="K113" s="423"/>
      <c r="L113" s="423"/>
      <c r="M113" s="423"/>
      <c r="N113" s="423"/>
      <c r="O113" s="423"/>
      <c r="P113" s="423"/>
      <c r="R113" s="9"/>
    </row>
    <row r="114" spans="2:39" x14ac:dyDescent="0.3">
      <c r="C114" s="415"/>
      <c r="D114" s="178">
        <v>2024</v>
      </c>
      <c r="E114" s="178">
        <v>2025</v>
      </c>
      <c r="F114" s="178">
        <v>2026</v>
      </c>
      <c r="G114" s="178">
        <v>2027</v>
      </c>
      <c r="H114" s="178">
        <v>2028</v>
      </c>
      <c r="I114" s="178">
        <v>2029</v>
      </c>
      <c r="J114" s="178">
        <v>2030</v>
      </c>
      <c r="K114" s="178">
        <v>2031</v>
      </c>
      <c r="L114" s="178">
        <v>2032</v>
      </c>
      <c r="M114" s="178">
        <v>2033</v>
      </c>
      <c r="N114" s="178">
        <v>2034</v>
      </c>
      <c r="O114" s="178">
        <v>2035</v>
      </c>
      <c r="P114" s="178">
        <v>2036</v>
      </c>
      <c r="R114" s="9"/>
    </row>
    <row r="115" spans="2:39" x14ac:dyDescent="0.3">
      <c r="B115" s="76"/>
      <c r="C115" s="328">
        <v>1</v>
      </c>
      <c r="D115" s="296">
        <f>'Model input'!C85</f>
        <v>3880</v>
      </c>
      <c r="E115" s="296">
        <f>D115-SUM(E116:E124)</f>
        <v>970</v>
      </c>
      <c r="F115" s="296">
        <f>D115-SUM(F116:F124)</f>
        <v>970</v>
      </c>
      <c r="G115" s="296">
        <f>D115-SUM(G116:G124)</f>
        <v>970</v>
      </c>
      <c r="H115" s="330">
        <v>0</v>
      </c>
      <c r="I115" s="330">
        <v>0</v>
      </c>
      <c r="J115" s="330">
        <v>0</v>
      </c>
      <c r="K115" s="330">
        <v>0</v>
      </c>
      <c r="L115" s="330">
        <v>0</v>
      </c>
      <c r="M115" s="330">
        <v>0</v>
      </c>
      <c r="N115" s="330">
        <v>0</v>
      </c>
      <c r="O115" s="330">
        <v>0</v>
      </c>
      <c r="P115" s="330">
        <v>0</v>
      </c>
      <c r="R115" s="9"/>
    </row>
    <row r="116" spans="2:39" x14ac:dyDescent="0.3">
      <c r="C116" s="328">
        <v>2</v>
      </c>
      <c r="D116" s="296">
        <v>0</v>
      </c>
      <c r="E116" s="296">
        <f>D115*'Model input'!$C$89</f>
        <v>2910</v>
      </c>
      <c r="F116" s="296">
        <f>E115*'Model input'!$C$89</f>
        <v>727.5</v>
      </c>
      <c r="G116" s="296">
        <f>F115*'Model input'!$C$89</f>
        <v>727.5</v>
      </c>
      <c r="H116" s="330">
        <f>G115*'Model input'!$C$89</f>
        <v>727.5</v>
      </c>
      <c r="I116" s="330">
        <v>0</v>
      </c>
      <c r="J116" s="330">
        <v>0</v>
      </c>
      <c r="K116" s="330">
        <v>0</v>
      </c>
      <c r="L116" s="330">
        <v>0</v>
      </c>
      <c r="M116" s="330">
        <v>0</v>
      </c>
      <c r="N116" s="330">
        <v>0</v>
      </c>
      <c r="O116" s="330">
        <v>0</v>
      </c>
      <c r="P116" s="330">
        <v>0</v>
      </c>
      <c r="R116" s="9"/>
    </row>
    <row r="117" spans="2:39" x14ac:dyDescent="0.3">
      <c r="C117" s="328">
        <v>3</v>
      </c>
      <c r="D117" s="296">
        <v>0</v>
      </c>
      <c r="E117" s="296">
        <v>0</v>
      </c>
      <c r="F117" s="296">
        <f>E116*'Model input'!$C$89</f>
        <v>2182.5</v>
      </c>
      <c r="G117" s="296">
        <f>F116*'Model input'!$C$89</f>
        <v>545.625</v>
      </c>
      <c r="H117" s="290">
        <f>G116*'Model input'!$C$89</f>
        <v>545.625</v>
      </c>
      <c r="I117" s="290">
        <f>H116*'Model input'!$C$89</f>
        <v>545.625</v>
      </c>
      <c r="J117" s="290">
        <f t="shared" ref="J117" si="24">I116</f>
        <v>0</v>
      </c>
      <c r="K117" s="290">
        <f t="shared" ref="K117:K118" si="25">J116</f>
        <v>0</v>
      </c>
      <c r="L117" s="290">
        <f t="shared" ref="L117:L119" si="26">K116</f>
        <v>0</v>
      </c>
      <c r="M117" s="290">
        <f t="shared" ref="M117:M120" si="27">L116</f>
        <v>0</v>
      </c>
      <c r="N117" s="290">
        <f t="shared" ref="N117:N124" si="28">M116</f>
        <v>0</v>
      </c>
      <c r="O117" s="290">
        <f t="shared" ref="O117:O124" si="29">N116</f>
        <v>0</v>
      </c>
      <c r="P117" s="290">
        <f t="shared" ref="P117:P124" si="30">O116</f>
        <v>0</v>
      </c>
      <c r="R117" s="9"/>
    </row>
    <row r="118" spans="2:39" x14ac:dyDescent="0.3">
      <c r="C118" s="328">
        <v>4</v>
      </c>
      <c r="D118" s="296">
        <v>0</v>
      </c>
      <c r="E118" s="296">
        <v>0</v>
      </c>
      <c r="F118" s="296">
        <v>0</v>
      </c>
      <c r="G118" s="296">
        <f>F117*'Model input'!$C$89</f>
        <v>1636.875</v>
      </c>
      <c r="H118" s="290">
        <f t="shared" ref="H118:J119" si="31">G117</f>
        <v>545.625</v>
      </c>
      <c r="I118" s="290">
        <f t="shared" si="31"/>
        <v>545.625</v>
      </c>
      <c r="J118" s="290">
        <f t="shared" si="31"/>
        <v>545.625</v>
      </c>
      <c r="K118" s="290">
        <f t="shared" si="25"/>
        <v>0</v>
      </c>
      <c r="L118" s="290">
        <f t="shared" si="26"/>
        <v>0</v>
      </c>
      <c r="M118" s="290">
        <f t="shared" si="27"/>
        <v>0</v>
      </c>
      <c r="N118" s="290">
        <f t="shared" si="28"/>
        <v>0</v>
      </c>
      <c r="O118" s="290">
        <f t="shared" si="29"/>
        <v>0</v>
      </c>
      <c r="P118" s="290">
        <f t="shared" si="30"/>
        <v>0</v>
      </c>
      <c r="R118" s="9"/>
    </row>
    <row r="119" spans="2:39" x14ac:dyDescent="0.3">
      <c r="C119" s="328">
        <v>5</v>
      </c>
      <c r="D119" s="296">
        <v>0</v>
      </c>
      <c r="E119" s="296">
        <v>0</v>
      </c>
      <c r="F119" s="296">
        <v>0</v>
      </c>
      <c r="G119" s="296">
        <v>0</v>
      </c>
      <c r="H119" s="290">
        <f t="shared" si="31"/>
        <v>1636.875</v>
      </c>
      <c r="I119" s="290">
        <f t="shared" si="31"/>
        <v>545.625</v>
      </c>
      <c r="J119" s="290">
        <f t="shared" si="31"/>
        <v>545.625</v>
      </c>
      <c r="K119" s="290">
        <f>J118</f>
        <v>545.625</v>
      </c>
      <c r="L119" s="290">
        <f t="shared" si="26"/>
        <v>0</v>
      </c>
      <c r="M119" s="290">
        <f t="shared" si="27"/>
        <v>0</v>
      </c>
      <c r="N119" s="290">
        <f t="shared" si="28"/>
        <v>0</v>
      </c>
      <c r="O119" s="290">
        <f t="shared" si="29"/>
        <v>0</v>
      </c>
      <c r="P119" s="290">
        <f t="shared" si="30"/>
        <v>0</v>
      </c>
      <c r="R119" s="9"/>
    </row>
    <row r="120" spans="2:39" x14ac:dyDescent="0.3">
      <c r="C120" s="328">
        <v>6</v>
      </c>
      <c r="D120" s="296">
        <v>0</v>
      </c>
      <c r="E120" s="296">
        <v>0</v>
      </c>
      <c r="F120" s="296">
        <v>0</v>
      </c>
      <c r="G120" s="296">
        <v>0</v>
      </c>
      <c r="H120" s="290">
        <f t="shared" ref="H120:H124" si="32">G119</f>
        <v>0</v>
      </c>
      <c r="I120" s="290">
        <f>H119</f>
        <v>1636.875</v>
      </c>
      <c r="J120" s="290">
        <f>I119</f>
        <v>545.625</v>
      </c>
      <c r="K120" s="290">
        <f>J119</f>
        <v>545.625</v>
      </c>
      <c r="L120" s="290">
        <f>K119</f>
        <v>545.625</v>
      </c>
      <c r="M120" s="290">
        <f t="shared" si="27"/>
        <v>0</v>
      </c>
      <c r="N120" s="290">
        <f t="shared" si="28"/>
        <v>0</v>
      </c>
      <c r="O120" s="290">
        <f t="shared" si="29"/>
        <v>0</v>
      </c>
      <c r="P120" s="290">
        <f t="shared" si="30"/>
        <v>0</v>
      </c>
      <c r="R120" s="9"/>
    </row>
    <row r="121" spans="2:39" x14ac:dyDescent="0.3">
      <c r="C121" s="328">
        <v>7</v>
      </c>
      <c r="D121" s="296">
        <v>0</v>
      </c>
      <c r="E121" s="296">
        <v>0</v>
      </c>
      <c r="F121" s="296">
        <v>0</v>
      </c>
      <c r="G121" s="296">
        <v>0</v>
      </c>
      <c r="H121" s="290">
        <f t="shared" si="32"/>
        <v>0</v>
      </c>
      <c r="I121" s="290">
        <f t="shared" ref="I121:I124" si="33">H120</f>
        <v>0</v>
      </c>
      <c r="J121" s="290">
        <f>I120</f>
        <v>1636.875</v>
      </c>
      <c r="K121" s="290">
        <f>J120</f>
        <v>545.625</v>
      </c>
      <c r="L121" s="290">
        <f>K120</f>
        <v>545.625</v>
      </c>
      <c r="M121" s="290">
        <f>L120</f>
        <v>545.625</v>
      </c>
      <c r="N121" s="290">
        <f t="shared" si="28"/>
        <v>0</v>
      </c>
      <c r="O121" s="290">
        <f t="shared" si="29"/>
        <v>0</v>
      </c>
      <c r="P121" s="290">
        <f t="shared" si="30"/>
        <v>0</v>
      </c>
      <c r="R121" s="9"/>
    </row>
    <row r="122" spans="2:39" x14ac:dyDescent="0.3">
      <c r="C122" s="328">
        <v>8</v>
      </c>
      <c r="D122" s="296">
        <v>0</v>
      </c>
      <c r="E122" s="296">
        <v>0</v>
      </c>
      <c r="F122" s="296">
        <v>0</v>
      </c>
      <c r="G122" s="296">
        <v>0</v>
      </c>
      <c r="H122" s="290">
        <f t="shared" si="32"/>
        <v>0</v>
      </c>
      <c r="I122" s="290">
        <f t="shared" si="33"/>
        <v>0</v>
      </c>
      <c r="J122" s="290">
        <f t="shared" ref="J122:J124" si="34">I121</f>
        <v>0</v>
      </c>
      <c r="K122" s="290">
        <f>J121</f>
        <v>1636.875</v>
      </c>
      <c r="L122" s="290">
        <f>K121</f>
        <v>545.625</v>
      </c>
      <c r="M122" s="290">
        <f>L121</f>
        <v>545.625</v>
      </c>
      <c r="N122" s="290">
        <f t="shared" si="28"/>
        <v>545.625</v>
      </c>
      <c r="O122" s="290">
        <f t="shared" si="29"/>
        <v>0</v>
      </c>
      <c r="P122" s="290">
        <f t="shared" si="30"/>
        <v>0</v>
      </c>
      <c r="R122" s="9"/>
    </row>
    <row r="123" spans="2:39" x14ac:dyDescent="0.3">
      <c r="C123" s="328">
        <v>9</v>
      </c>
      <c r="D123" s="296">
        <v>0</v>
      </c>
      <c r="E123" s="296">
        <v>0</v>
      </c>
      <c r="F123" s="296">
        <v>0</v>
      </c>
      <c r="G123" s="296">
        <v>0</v>
      </c>
      <c r="H123" s="290">
        <f t="shared" si="32"/>
        <v>0</v>
      </c>
      <c r="I123" s="290">
        <f t="shared" si="33"/>
        <v>0</v>
      </c>
      <c r="J123" s="290">
        <f t="shared" si="34"/>
        <v>0</v>
      </c>
      <c r="K123" s="290">
        <f t="shared" ref="K123:K124" si="35">J122</f>
        <v>0</v>
      </c>
      <c r="L123" s="290">
        <f>K122</f>
        <v>1636.875</v>
      </c>
      <c r="M123" s="290">
        <f>L122</f>
        <v>545.625</v>
      </c>
      <c r="N123" s="290">
        <f t="shared" si="28"/>
        <v>545.625</v>
      </c>
      <c r="O123" s="290">
        <f t="shared" si="29"/>
        <v>545.625</v>
      </c>
      <c r="P123" s="290">
        <f t="shared" si="30"/>
        <v>0</v>
      </c>
      <c r="R123" s="9"/>
    </row>
    <row r="124" spans="2:39" x14ac:dyDescent="0.3">
      <c r="C124" s="328">
        <v>10</v>
      </c>
      <c r="D124" s="296">
        <v>0</v>
      </c>
      <c r="E124" s="296">
        <v>0</v>
      </c>
      <c r="F124" s="296">
        <v>0</v>
      </c>
      <c r="G124" s="296">
        <v>0</v>
      </c>
      <c r="H124" s="290">
        <f t="shared" si="32"/>
        <v>0</v>
      </c>
      <c r="I124" s="290">
        <f t="shared" si="33"/>
        <v>0</v>
      </c>
      <c r="J124" s="290">
        <f t="shared" si="34"/>
        <v>0</v>
      </c>
      <c r="K124" s="290">
        <f t="shared" si="35"/>
        <v>0</v>
      </c>
      <c r="L124" s="290">
        <f t="shared" ref="L124" si="36">K123</f>
        <v>0</v>
      </c>
      <c r="M124" s="290">
        <f>L123</f>
        <v>1636.875</v>
      </c>
      <c r="N124" s="290">
        <f t="shared" si="28"/>
        <v>545.625</v>
      </c>
      <c r="O124" s="290">
        <f t="shared" si="29"/>
        <v>545.625</v>
      </c>
      <c r="P124" s="290">
        <f t="shared" si="30"/>
        <v>545.625</v>
      </c>
      <c r="R124" s="9"/>
    </row>
    <row r="125" spans="2:39" ht="18.600000000000001" customHeight="1" x14ac:dyDescent="0.3">
      <c r="B125" s="72"/>
      <c r="C125" s="72"/>
      <c r="D125" s="68"/>
      <c r="E125" s="68"/>
      <c r="F125" s="68"/>
      <c r="R125" s="9"/>
    </row>
    <row r="126" spans="2:39" s="32" customFormat="1" ht="19.5" customHeight="1" x14ac:dyDescent="0.35">
      <c r="B126" s="160" t="s">
        <v>226</v>
      </c>
      <c r="C126" s="73"/>
      <c r="D126" s="74"/>
      <c r="E126" s="74"/>
      <c r="F126" s="74"/>
      <c r="R126" s="9"/>
      <c r="S126"/>
      <c r="T126"/>
      <c r="U126"/>
      <c r="V126"/>
      <c r="W126"/>
      <c r="X126"/>
      <c r="Y126"/>
      <c r="Z126"/>
      <c r="AA126"/>
      <c r="AB126"/>
      <c r="AC126"/>
      <c r="AD126"/>
      <c r="AE126"/>
      <c r="AF126"/>
      <c r="AG126"/>
      <c r="AH126"/>
      <c r="AI126"/>
      <c r="AJ126"/>
      <c r="AK126"/>
      <c r="AL126"/>
      <c r="AM126"/>
    </row>
    <row r="127" spans="2:39" s="72" customFormat="1" ht="19.5" customHeight="1" x14ac:dyDescent="0.3">
      <c r="R127" s="201"/>
    </row>
    <row r="128" spans="2:39" ht="16.5" customHeight="1" x14ac:dyDescent="0.3">
      <c r="B128" s="3" t="s">
        <v>155</v>
      </c>
      <c r="C128" s="86"/>
      <c r="D128" s="173">
        <v>2024</v>
      </c>
      <c r="E128" s="173">
        <v>2025</v>
      </c>
      <c r="F128" s="173">
        <v>2026</v>
      </c>
      <c r="G128" s="173">
        <v>2027</v>
      </c>
      <c r="H128" s="173">
        <v>2028</v>
      </c>
      <c r="I128" s="173">
        <v>2029</v>
      </c>
      <c r="J128" s="173">
        <v>2030</v>
      </c>
      <c r="K128" s="173">
        <v>2031</v>
      </c>
      <c r="L128" s="173">
        <v>2032</v>
      </c>
      <c r="M128" s="173">
        <v>2033</v>
      </c>
      <c r="N128" s="173">
        <v>2034</v>
      </c>
      <c r="O128" s="173">
        <v>2035</v>
      </c>
      <c r="P128" s="173">
        <v>2036</v>
      </c>
      <c r="R128" s="9"/>
    </row>
    <row r="129" spans="2:39" s="76" customFormat="1" ht="16.5" customHeight="1" x14ac:dyDescent="0.3">
      <c r="B129" s="289" t="s">
        <v>191</v>
      </c>
      <c r="C129" s="331" t="s">
        <v>227</v>
      </c>
      <c r="D129" s="332">
        <v>0</v>
      </c>
      <c r="E129" s="332">
        <f>E101*E44</f>
        <v>191592.02707857697</v>
      </c>
      <c r="F129" s="332">
        <f>F102*F44+F101*E44/(1+'Model input'!C12)^1</f>
        <v>1306305.4247886133</v>
      </c>
      <c r="G129" s="332">
        <f>G103*G44+G102*F44/(1+'Model input'!C12)^1+G101*E44/(1+'Model input'!C12)^2</f>
        <v>2322716.7665779274</v>
      </c>
      <c r="H129" s="332">
        <f>H104*H44+H103*G44/(1+'Model input'!C12)^1+H102*F44/(1+'Model input'!C12)^2</f>
        <v>3614459.2382818498</v>
      </c>
      <c r="I129" s="332">
        <f>I105*I44+I104*H44/(1+'Model input'!C12)^1+I103*G44/(1+'Model input'!C12)^2</f>
        <v>2577766.0866720863</v>
      </c>
      <c r="J129" s="332">
        <f>J106*J44+J105*I44/(1+'Model input'!C12)^1+J104*H44/(1+'Model input'!C12)^2</f>
        <v>2219246.9008929194</v>
      </c>
      <c r="K129" s="332">
        <f>K107*K44+K106*J44/(1+'Model input'!C12)^1+K105*I44/(1+'Model input'!C12)^2</f>
        <v>2000975.8806659607</v>
      </c>
      <c r="L129" s="332">
        <f>L108*L44+L107*K44/(1+'Model input'!C12)^1+L106*J44/(1+'Model input'!C12)^2</f>
        <v>1873818.9304636777</v>
      </c>
      <c r="M129" s="332">
        <f>M109*M44+M108*L44/(1+'Model input'!C12)^1+M107*K44/(1+'Model input'!C12)^2</f>
        <v>1754138.5526048301</v>
      </c>
      <c r="N129" s="332">
        <f>N110*N44+N109*M44/(1+'Model input'!C12)^1+N108*L44/(1+'Model input'!C12)^2</f>
        <v>1511820.5581130548</v>
      </c>
      <c r="O129" s="304">
        <f>O110*N44/(1+'Model input'!C12)^1+O109*M44/(1+'Model input'!C12)^2</f>
        <v>1047852.9748368857</v>
      </c>
      <c r="P129" s="304">
        <f>P110*N44/(1+'Model input'!C12)^2</f>
        <v>613155.45138327673</v>
      </c>
      <c r="R129" s="202"/>
    </row>
    <row r="130" spans="2:39" s="76" customFormat="1" ht="16.5" customHeight="1" x14ac:dyDescent="0.3">
      <c r="B130" s="289" t="s">
        <v>52</v>
      </c>
      <c r="C130" s="331" t="s">
        <v>227</v>
      </c>
      <c r="D130" s="332">
        <f>D115*D91</f>
        <v>30543.832839357121</v>
      </c>
      <c r="E130" s="332">
        <f>E116*E91+E115*D91/(1+'Model input'!C12)^1</f>
        <v>263778.92697248555</v>
      </c>
      <c r="F130" s="332">
        <f>F117*F91+F116*E91/(1+'Model input'!C12)^1+F115*D91/(1+'Model input'!C12)^2</f>
        <v>197494.13484491839</v>
      </c>
      <c r="G130" s="332">
        <f>G118*G91+G117*F91/(1+'Model input'!C12)^1+G116*E91/(1+'Model input'!C12)^2+G115*D91/(1+'Model input'!C12)^3</f>
        <v>172944.11728482731</v>
      </c>
      <c r="H130" s="332">
        <f>H119*H91+H118*G91/(1+'Model input'!C12)^1+H117*F91/(1+'Model input'!C12)^2+H116*E91/(1+'Model input'!C12)^3</f>
        <v>172666.29284487825</v>
      </c>
      <c r="I130" s="332">
        <f>I120*I91+I119*H91/(1+'Model input'!C12)^1+I118*G91/(1+'Model input'!C12)^2+I117*F91/(1+'Model input'!C12)^3</f>
        <v>130904.88952731462</v>
      </c>
      <c r="J130" s="332">
        <f>J121*J91+J120*I91/(1+'Model input'!C12)^1+J119*H91/(1+'Model input'!C12)^2+J118*G91/(1+'Model input'!C12)^3</f>
        <v>128538.81617479415</v>
      </c>
      <c r="K130" s="332">
        <f>K122*K91+K121*J91/(1+'Model input'!C12)^1+K120*I91/(1+'Model input'!C12)^2+K119*H91/(1+'Model input'!C12)^3</f>
        <v>144560.4829698781</v>
      </c>
      <c r="L130" s="332">
        <f>L123*L91+L122*K91/(1+'Model input'!C12)^1+L121*J91/(1+'Model input'!C12)^2+L120*I91/(1+'Model input'!C12)^3</f>
        <v>139552.09852607298</v>
      </c>
      <c r="M130" s="332">
        <f>M124*M91+M123*L91/(1+'Model input'!C12)^1+M122*K91/(1+'Model input'!C12)^2+M121*J91/(1+'Model input'!C12)^3</f>
        <v>134497.44042065667</v>
      </c>
      <c r="N130" s="332">
        <f>N124*M91/(1+'Model input'!C12)^1+N123*L91/(1+'Model input'!C12)^2+N122*K91/(1+'Model input'!C12)^3</f>
        <v>64696.229960802375</v>
      </c>
      <c r="O130" s="332">
        <f>O124*M91/(1+'Model input'!C12)^2+O123*L91/(1+'Model input'!C12)^3</f>
        <v>38596.299678935306</v>
      </c>
      <c r="P130" s="332">
        <f>P124*M91/(1+'Model input'!C12)^3</f>
        <v>17273.8085128944</v>
      </c>
      <c r="R130" s="202"/>
    </row>
    <row r="131" spans="2:39" ht="15.75" customHeight="1" x14ac:dyDescent="0.35">
      <c r="B131" s="87" t="s">
        <v>228</v>
      </c>
      <c r="C131" s="77" t="s">
        <v>229</v>
      </c>
      <c r="D131" s="172">
        <f>SUM(D129:D130)</f>
        <v>30543.832839357121</v>
      </c>
      <c r="E131" s="172">
        <f>SUM(E129:E130)</f>
        <v>455370.95405106252</v>
      </c>
      <c r="F131" s="172">
        <f>SUM(F129:F130)</f>
        <v>1503799.5596335316</v>
      </c>
      <c r="G131" s="172">
        <f>SUM(G129:G130)</f>
        <v>2495660.8838627548</v>
      </c>
      <c r="H131" s="172">
        <f>SUM(H129:H130)</f>
        <v>3787125.5311267278</v>
      </c>
      <c r="I131" s="172">
        <f t="shared" ref="I131:P131" si="37">SUM(I129:I130)</f>
        <v>2708670.9761994011</v>
      </c>
      <c r="J131" s="172">
        <f t="shared" si="37"/>
        <v>2347785.7170677134</v>
      </c>
      <c r="K131" s="172">
        <f t="shared" si="37"/>
        <v>2145536.363635839</v>
      </c>
      <c r="L131" s="172">
        <f t="shared" si="37"/>
        <v>2013371.0289897507</v>
      </c>
      <c r="M131" s="172">
        <f t="shared" si="37"/>
        <v>1888635.9930254868</v>
      </c>
      <c r="N131" s="172">
        <f>SUM(N129:N130)</f>
        <v>1576516.7880738573</v>
      </c>
      <c r="O131" s="172">
        <f t="shared" si="37"/>
        <v>1086449.2745158209</v>
      </c>
      <c r="P131" s="172">
        <f t="shared" si="37"/>
        <v>630429.25989617116</v>
      </c>
      <c r="Q131" s="13"/>
      <c r="R131" s="197"/>
      <c r="S131" s="13"/>
      <c r="T131" s="13"/>
      <c r="U131" s="13"/>
      <c r="V131" s="13"/>
      <c r="W131" s="13"/>
      <c r="X131" s="13"/>
      <c r="Y131" s="13"/>
      <c r="Z131" s="13"/>
      <c r="AA131" s="13"/>
      <c r="AB131" s="13"/>
    </row>
    <row r="132" spans="2:39" x14ac:dyDescent="0.3">
      <c r="B132" s="59"/>
      <c r="D132" s="76"/>
      <c r="E132" s="76"/>
      <c r="F132" s="76"/>
      <c r="G132" s="76"/>
      <c r="H132" s="76"/>
      <c r="I132" s="76"/>
      <c r="J132" s="76"/>
      <c r="K132" s="76"/>
      <c r="L132" s="76"/>
      <c r="M132" s="76"/>
      <c r="N132" s="76"/>
      <c r="R132" s="9"/>
    </row>
    <row r="133" spans="2:39" s="32" customFormat="1" ht="21" customHeight="1" x14ac:dyDescent="0.35">
      <c r="B133" s="191" t="s">
        <v>230</v>
      </c>
      <c r="C133" s="6"/>
      <c r="D133" s="6"/>
      <c r="E133" s="6"/>
      <c r="F133" s="6"/>
      <c r="G133" s="6"/>
      <c r="H133" s="6"/>
      <c r="I133" s="6"/>
      <c r="J133" s="6"/>
      <c r="K133" s="6"/>
      <c r="L133" s="6"/>
      <c r="R133" s="9"/>
      <c r="S133"/>
      <c r="T133"/>
      <c r="U133"/>
      <c r="V133"/>
      <c r="W133"/>
      <c r="X133"/>
      <c r="Y133"/>
      <c r="Z133"/>
      <c r="AA133"/>
      <c r="AB133"/>
      <c r="AC133"/>
      <c r="AD133"/>
      <c r="AE133"/>
      <c r="AF133"/>
      <c r="AG133"/>
      <c r="AH133"/>
      <c r="AI133"/>
      <c r="AJ133"/>
      <c r="AK133"/>
      <c r="AL133"/>
      <c r="AM133"/>
    </row>
    <row r="134" spans="2:39" ht="18" x14ac:dyDescent="0.35">
      <c r="B134" s="13"/>
      <c r="C134" s="13"/>
      <c r="D134" s="13"/>
      <c r="E134" s="13"/>
      <c r="F134" s="13"/>
      <c r="G134" s="13"/>
      <c r="H134" s="13"/>
      <c r="I134" s="13"/>
      <c r="J134" s="13"/>
      <c r="K134" s="13"/>
      <c r="L134" s="13"/>
      <c r="R134" s="9"/>
    </row>
    <row r="135" spans="2:39" ht="18" x14ac:dyDescent="0.35">
      <c r="B135" s="179"/>
      <c r="C135" s="13"/>
      <c r="D135" s="414" t="s">
        <v>231</v>
      </c>
      <c r="E135" s="414"/>
      <c r="F135" s="414"/>
      <c r="G135" s="414"/>
      <c r="H135" s="414" t="s">
        <v>232</v>
      </c>
      <c r="I135" s="414"/>
      <c r="J135" s="414"/>
      <c r="K135" s="13"/>
      <c r="L135" s="13"/>
      <c r="R135" s="9"/>
    </row>
    <row r="136" spans="2:39" ht="15.6" x14ac:dyDescent="0.3">
      <c r="B136" s="412" t="s">
        <v>155</v>
      </c>
      <c r="C136" s="413"/>
      <c r="D136" s="173">
        <v>2024</v>
      </c>
      <c r="E136" s="173">
        <v>2025</v>
      </c>
      <c r="F136" s="173">
        <v>2026</v>
      </c>
      <c r="G136" s="173">
        <v>2027</v>
      </c>
      <c r="H136" s="173">
        <v>2028</v>
      </c>
      <c r="I136" s="173">
        <v>2029</v>
      </c>
      <c r="J136" s="173" t="s">
        <v>80</v>
      </c>
      <c r="K136" s="66"/>
      <c r="R136" s="9"/>
    </row>
    <row r="137" spans="2:39" x14ac:dyDescent="0.3">
      <c r="B137" s="396" t="s">
        <v>233</v>
      </c>
      <c r="C137" s="397"/>
      <c r="D137" s="355">
        <f>(184639-5710)-(184639-5710)*'Sensitivity analysis'!C8</f>
        <v>178929</v>
      </c>
      <c r="E137" s="355">
        <f>(864901-137508)-(864901-137508)*'Sensitivity analysis'!C8</f>
        <v>727393</v>
      </c>
      <c r="F137" s="355">
        <f>(991153-68477)-(991153-68477)*'Sensitivity analysis'!C8</f>
        <v>922676</v>
      </c>
      <c r="G137" s="355">
        <f>(1303944-24980+148521)-(1303944-24980+148521)*'Sensitivity analysis'!C8</f>
        <v>1427485</v>
      </c>
      <c r="H137" s="334"/>
      <c r="I137" s="334"/>
      <c r="J137" s="289" t="s">
        <v>234</v>
      </c>
      <c r="K137" s="66"/>
      <c r="R137" s="9"/>
    </row>
    <row r="138" spans="2:39" x14ac:dyDescent="0.3">
      <c r="B138" s="396" t="s">
        <v>235</v>
      </c>
      <c r="C138" s="397"/>
      <c r="D138" s="333">
        <f>D137</f>
        <v>178929</v>
      </c>
      <c r="E138" s="333">
        <f>E137/('Model input'!G$95/'Model input'!$F$95)</f>
        <v>710779.91475527093</v>
      </c>
      <c r="F138" s="333">
        <f>F137/('Model input'!H$95/'Model input'!$F$95)</f>
        <v>884859.84129161946</v>
      </c>
      <c r="G138" s="333">
        <f>G137/('Model input'!I$95/'Model input'!$F$95)</f>
        <v>1342600.8733815763</v>
      </c>
      <c r="H138" s="334"/>
      <c r="I138" s="334"/>
      <c r="J138" s="289" t="s">
        <v>236</v>
      </c>
      <c r="K138" s="66"/>
      <c r="R138" s="9"/>
    </row>
    <row r="139" spans="2:39" ht="16.2" customHeight="1" x14ac:dyDescent="0.35">
      <c r="B139" s="396" t="s">
        <v>237</v>
      </c>
      <c r="C139" s="397"/>
      <c r="D139" s="333">
        <f>D138/(1+'Model input'!$C$12)^(D136-2024)</f>
        <v>178929</v>
      </c>
      <c r="E139" s="333">
        <f>E138/(1+'Model input'!$C$12)^(E136-2024)</f>
        <v>646163.55886842811</v>
      </c>
      <c r="F139" s="333">
        <f>F138/(1+'Model input'!$C$12)^(F136-2024)</f>
        <v>731289.12503439619</v>
      </c>
      <c r="G139" s="333">
        <f>G138/(1+'Model input'!$C$12)^(G136-2024)</f>
        <v>1008715.9078749631</v>
      </c>
      <c r="H139" s="334"/>
      <c r="I139" s="334"/>
      <c r="J139" s="5"/>
      <c r="K139" s="66"/>
      <c r="O139" s="13"/>
      <c r="P139" s="13"/>
      <c r="Q139" s="13"/>
      <c r="R139" s="197"/>
      <c r="S139" s="13"/>
      <c r="T139" s="13"/>
      <c r="U139" s="13"/>
      <c r="V139" s="13"/>
      <c r="W139" s="13"/>
      <c r="X139" s="13"/>
      <c r="Y139" s="13"/>
      <c r="Z139" s="13"/>
      <c r="AA139" s="13"/>
      <c r="AB139" s="13"/>
    </row>
    <row r="140" spans="2:39" ht="16.95" customHeight="1" x14ac:dyDescent="0.35">
      <c r="B140" s="396" t="s">
        <v>238</v>
      </c>
      <c r="C140" s="397"/>
      <c r="D140" s="333">
        <f>D139/('Model input'!$F$95/'Model input'!$C$95)</f>
        <v>152839.15629158905</v>
      </c>
      <c r="E140" s="333">
        <f>E139/('Model input'!$F$95/'Model input'!$C$95)</f>
        <v>551945.7056364317</v>
      </c>
      <c r="F140" s="333">
        <f>F139/('Model input'!$F$95/'Model input'!$C$95)</f>
        <v>624659.01489122212</v>
      </c>
      <c r="G140" s="333">
        <f>G139/('Model input'!$F$95/'Model input'!$C$95)</f>
        <v>861633.87878719287</v>
      </c>
      <c r="H140" s="334">
        <f>(H102+H103+H116+H117)*$C$143/(1+'Model input'!$C$12)^(SROI!H$136-'Model input'!$C$5)</f>
        <v>451111.26383194223</v>
      </c>
      <c r="I140" s="334">
        <f>(I103+I117)*$C$143/(1+'Model input'!$C$12)^(SROI!I$136-'Model input'!$C$5)</f>
        <v>220644.6590200605</v>
      </c>
      <c r="J140" s="5"/>
      <c r="M140" s="13"/>
      <c r="N140" s="13"/>
      <c r="R140" s="9"/>
    </row>
    <row r="141" spans="2:39" ht="35.1" customHeight="1" x14ac:dyDescent="0.3">
      <c r="B141" s="190"/>
      <c r="D141" s="79"/>
      <c r="E141" s="79"/>
      <c r="F141" s="79"/>
      <c r="G141" s="79"/>
      <c r="H141" s="67"/>
      <c r="R141" s="9"/>
    </row>
    <row r="142" spans="2:39" ht="17.55" customHeight="1" x14ac:dyDescent="0.3">
      <c r="B142" s="192" t="s">
        <v>239</v>
      </c>
      <c r="C142" s="193">
        <f>SUM(D140:G140)</f>
        <v>2191077.7556064357</v>
      </c>
      <c r="E142" s="68"/>
      <c r="F142" s="68"/>
      <c r="G142" s="67"/>
      <c r="H142" s="67"/>
      <c r="R142" s="9"/>
    </row>
    <row r="143" spans="2:39" ht="16.95" customHeight="1" x14ac:dyDescent="0.3">
      <c r="B143" s="192" t="s">
        <v>240</v>
      </c>
      <c r="C143" s="193">
        <f>C142/'Model input'!G85</f>
        <v>32.975810905356845</v>
      </c>
      <c r="D143" s="354" t="s">
        <v>288</v>
      </c>
      <c r="E143" s="68"/>
      <c r="F143" s="68"/>
      <c r="G143" s="67"/>
      <c r="H143" s="67"/>
      <c r="R143" s="9"/>
    </row>
    <row r="144" spans="2:39" ht="18" customHeight="1" x14ac:dyDescent="0.3">
      <c r="B144" s="195" t="s">
        <v>241</v>
      </c>
      <c r="C144" s="194">
        <f>SUM(D140:I140)</f>
        <v>2862833.6784584387</v>
      </c>
      <c r="D144" s="288"/>
      <c r="E144" s="68"/>
      <c r="F144" s="68"/>
      <c r="G144" s="67"/>
      <c r="H144" s="67"/>
      <c r="R144" s="9"/>
    </row>
    <row r="145" spans="1:39" ht="15.6" x14ac:dyDescent="0.3">
      <c r="B145" s="195" t="s">
        <v>242</v>
      </c>
      <c r="C145" s="194">
        <f>C144/'Model input'!G87</f>
        <v>69.240467477907643</v>
      </c>
      <c r="D145" s="354" t="s">
        <v>289</v>
      </c>
      <c r="G145" s="67"/>
      <c r="R145" s="9"/>
    </row>
    <row r="146" spans="1:39" ht="25.8" x14ac:dyDescent="0.35">
      <c r="B146" s="189"/>
      <c r="C146" s="78"/>
      <c r="D146" s="68"/>
      <c r="E146" s="68"/>
      <c r="F146" s="68"/>
      <c r="G146" s="67"/>
      <c r="H146" s="67"/>
      <c r="O146" s="13"/>
      <c r="P146" s="13"/>
      <c r="Q146" s="13"/>
      <c r="R146" s="197"/>
      <c r="S146" s="13"/>
      <c r="T146" s="13"/>
      <c r="U146" s="13"/>
      <c r="V146" s="13"/>
      <c r="W146" s="13"/>
      <c r="X146" s="13"/>
      <c r="Y146" s="13"/>
      <c r="Z146" s="13"/>
      <c r="AA146" s="13"/>
      <c r="AB146" s="13"/>
    </row>
    <row r="147" spans="1:39" s="32" customFormat="1" ht="23.55" customHeight="1" x14ac:dyDescent="0.35">
      <c r="B147" s="191" t="s">
        <v>243</v>
      </c>
      <c r="C147" s="63"/>
      <c r="D147" s="64"/>
      <c r="E147" s="65"/>
      <c r="F147" s="6"/>
      <c r="G147" s="6"/>
      <c r="H147" s="6"/>
      <c r="I147" s="6"/>
      <c r="J147" s="6"/>
      <c r="K147" s="6"/>
      <c r="L147" s="6"/>
      <c r="M147" s="6"/>
      <c r="N147" s="6"/>
      <c r="R147" s="9"/>
      <c r="S147"/>
      <c r="T147"/>
      <c r="U147"/>
      <c r="V147"/>
      <c r="W147"/>
      <c r="X147"/>
      <c r="Y147"/>
      <c r="Z147"/>
      <c r="AA147"/>
      <c r="AB147"/>
      <c r="AC147"/>
      <c r="AD147"/>
      <c r="AE147"/>
      <c r="AF147"/>
      <c r="AG147"/>
      <c r="AH147"/>
      <c r="AI147"/>
      <c r="AJ147"/>
      <c r="AK147"/>
      <c r="AL147"/>
      <c r="AM147"/>
    </row>
    <row r="148" spans="1:39" x14ac:dyDescent="0.3">
      <c r="B148" s="60"/>
      <c r="R148" s="9"/>
    </row>
    <row r="149" spans="1:39" ht="15.6" x14ac:dyDescent="0.3">
      <c r="B149" s="195" t="s">
        <v>58</v>
      </c>
      <c r="C149" s="194">
        <f>SUM(D131:P131)</f>
        <v>22669896.162917472</v>
      </c>
      <c r="R149" s="9"/>
    </row>
    <row r="150" spans="1:39" ht="15.6" x14ac:dyDescent="0.3">
      <c r="B150" s="195" t="s">
        <v>244</v>
      </c>
      <c r="C150" s="194">
        <f>SUM(D129:P129)/SUM(D101:G101)</f>
        <v>608.68435644375927</v>
      </c>
      <c r="R150" s="9"/>
    </row>
    <row r="151" spans="1:39" ht="15.6" x14ac:dyDescent="0.3">
      <c r="B151" s="195" t="s">
        <v>245</v>
      </c>
      <c r="C151" s="194">
        <f>SUM(D130:P130)/SUM(D115:G115)</f>
        <v>240.94953911013476</v>
      </c>
      <c r="R151" s="9"/>
    </row>
    <row r="152" spans="1:39" ht="15.6" x14ac:dyDescent="0.3">
      <c r="B152" s="195" t="s">
        <v>246</v>
      </c>
      <c r="C152" s="194">
        <f>C149/'Model input'!G87</f>
        <v>548.29388790803216</v>
      </c>
      <c r="R152" s="9"/>
    </row>
    <row r="153" spans="1:39" ht="15.6" x14ac:dyDescent="0.3">
      <c r="B153" s="195" t="s">
        <v>247</v>
      </c>
      <c r="C153" s="194">
        <f>C149-C144</f>
        <v>19807062.484459035</v>
      </c>
      <c r="R153" s="9"/>
    </row>
    <row r="154" spans="1:39" ht="15.6" x14ac:dyDescent="0.3">
      <c r="B154" s="195" t="s">
        <v>248</v>
      </c>
      <c r="C154" s="194">
        <f>C152-C145</f>
        <v>479.0534204301245</v>
      </c>
      <c r="R154" s="9"/>
    </row>
    <row r="155" spans="1:39" ht="15.6" x14ac:dyDescent="0.3">
      <c r="B155" s="195" t="s">
        <v>249</v>
      </c>
      <c r="C155" s="196">
        <f>(AVERAGE(E42:N42)*(SUM(D101:G101)/'Model input'!G87)+AVERAGE(D89:M89)*(SUM(D115:G115)/'Model input'!G87))/'Model input'!C30</f>
        <v>0.1255682144274782</v>
      </c>
      <c r="R155" s="9"/>
    </row>
    <row r="156" spans="1:39" x14ac:dyDescent="0.3">
      <c r="B156" s="59"/>
      <c r="R156" s="9"/>
    </row>
    <row r="157" spans="1:39" ht="18" x14ac:dyDescent="0.35">
      <c r="A157" s="160"/>
      <c r="B157" s="160" t="s">
        <v>250</v>
      </c>
      <c r="C157" s="6"/>
      <c r="D157" s="6"/>
      <c r="E157" s="6"/>
      <c r="F157" s="6"/>
      <c r="G157" s="6"/>
      <c r="H157" s="6"/>
      <c r="I157" s="6"/>
      <c r="J157" s="6"/>
      <c r="K157" s="6"/>
      <c r="L157" s="6"/>
      <c r="M157" s="32"/>
      <c r="N157" s="32"/>
      <c r="O157" s="32"/>
      <c r="P157" s="32"/>
      <c r="Q157" s="32"/>
      <c r="R157" s="9"/>
    </row>
    <row r="158" spans="1:39" x14ac:dyDescent="0.3">
      <c r="B158" s="60"/>
      <c r="R158" s="9"/>
    </row>
    <row r="159" spans="1:39" ht="28.8" x14ac:dyDescent="0.3">
      <c r="B159" s="14" t="s">
        <v>251</v>
      </c>
      <c r="C159" s="16">
        <f>C149/C144</f>
        <v>7.9186913069726845</v>
      </c>
      <c r="D159" s="15" t="s">
        <v>252</v>
      </c>
      <c r="E159" s="69"/>
      <c r="R159" s="9"/>
    </row>
    <row r="160" spans="1:39" x14ac:dyDescent="0.3">
      <c r="B160" s="59"/>
      <c r="R160" s="9"/>
    </row>
    <row r="161" spans="1:18" x14ac:dyDescent="0.3">
      <c r="A161" s="60"/>
      <c r="B161" s="60"/>
      <c r="C161" s="60"/>
      <c r="D161" s="60"/>
      <c r="E161" s="60"/>
      <c r="F161" s="60"/>
      <c r="G161" s="60"/>
      <c r="H161" s="60"/>
      <c r="I161" s="60"/>
      <c r="J161" s="60"/>
      <c r="K161" s="60"/>
      <c r="L161" s="60"/>
      <c r="R161" s="9"/>
    </row>
    <row r="162" spans="1:18" x14ac:dyDescent="0.3">
      <c r="A162" s="59"/>
      <c r="B162" s="59"/>
      <c r="C162" s="59"/>
      <c r="D162" s="59"/>
      <c r="E162" s="59"/>
      <c r="F162" s="59"/>
      <c r="G162" s="59"/>
      <c r="H162" s="59"/>
      <c r="I162" s="59"/>
      <c r="J162" s="59"/>
      <c r="K162" s="59"/>
      <c r="L162" s="59"/>
      <c r="M162" s="59"/>
      <c r="N162" s="59"/>
      <c r="O162" s="59"/>
      <c r="P162" s="59"/>
      <c r="Q162" s="59"/>
    </row>
    <row r="165" spans="1:18" ht="15" customHeight="1" x14ac:dyDescent="0.3"/>
    <row r="176" spans="1:18" ht="31.5" customHeight="1" x14ac:dyDescent="0.3"/>
    <row r="191" spans="2:12" x14ac:dyDescent="0.3">
      <c r="B191" s="9"/>
      <c r="E191" s="335"/>
      <c r="F191" s="336"/>
      <c r="G191" s="336"/>
      <c r="H191" s="336"/>
      <c r="I191" s="336"/>
      <c r="J191" s="336"/>
      <c r="K191" s="336"/>
      <c r="L191" s="336"/>
    </row>
    <row r="192" spans="2:12" x14ac:dyDescent="0.3">
      <c r="B192" s="9"/>
      <c r="E192" s="203"/>
      <c r="F192" s="336"/>
      <c r="G192" s="336"/>
      <c r="H192" s="336"/>
      <c r="I192" s="336"/>
      <c r="J192" s="336"/>
      <c r="K192" s="204"/>
      <c r="L192" s="336"/>
    </row>
    <row r="193" spans="2:12" x14ac:dyDescent="0.3">
      <c r="B193" s="9"/>
      <c r="E193" s="335"/>
      <c r="F193" s="336"/>
      <c r="G193" s="336"/>
      <c r="H193" s="336"/>
      <c r="I193" s="336"/>
      <c r="J193" s="336"/>
      <c r="K193" s="336"/>
      <c r="L193" s="336"/>
    </row>
    <row r="194" spans="2:12" x14ac:dyDescent="0.3">
      <c r="B194" s="9"/>
      <c r="E194" s="335"/>
      <c r="F194" s="336"/>
      <c r="G194" s="336"/>
      <c r="H194" s="336"/>
      <c r="I194" s="336"/>
      <c r="J194" s="336"/>
      <c r="K194" s="336"/>
      <c r="L194" s="336"/>
    </row>
    <row r="195" spans="2:12" x14ac:dyDescent="0.3">
      <c r="B195" s="9"/>
      <c r="E195" s="336"/>
      <c r="F195" s="336"/>
      <c r="G195" s="336"/>
      <c r="H195" s="336"/>
      <c r="I195" s="336"/>
      <c r="J195" s="336"/>
      <c r="K195" s="336"/>
    </row>
  </sheetData>
  <mergeCells count="30">
    <mergeCell ref="H135:J135"/>
    <mergeCell ref="C113:C114"/>
    <mergeCell ref="C99:C100"/>
    <mergeCell ref="D46:F47"/>
    <mergeCell ref="D135:G135"/>
    <mergeCell ref="H113:P113"/>
    <mergeCell ref="B139:C139"/>
    <mergeCell ref="B140:C140"/>
    <mergeCell ref="B43:C43"/>
    <mergeCell ref="D113:G113"/>
    <mergeCell ref="B91:C91"/>
    <mergeCell ref="B93:C94"/>
    <mergeCell ref="D93:F94"/>
    <mergeCell ref="D99:G99"/>
    <mergeCell ref="B44:C44"/>
    <mergeCell ref="B46:C47"/>
    <mergeCell ref="B136:C136"/>
    <mergeCell ref="B137:C137"/>
    <mergeCell ref="B138:C138"/>
    <mergeCell ref="B90:C90"/>
    <mergeCell ref="B80:B88"/>
    <mergeCell ref="B52:B61"/>
    <mergeCell ref="B62:B69"/>
    <mergeCell ref="B70:B79"/>
    <mergeCell ref="B89:C89"/>
    <mergeCell ref="B5:B14"/>
    <mergeCell ref="B23:B32"/>
    <mergeCell ref="B33:B41"/>
    <mergeCell ref="B42:C42"/>
    <mergeCell ref="B15:B22"/>
  </mergeCells>
  <phoneticPr fontId="28" type="noConversion"/>
  <conditionalFormatting sqref="C51:M51">
    <cfRule type="cellIs" dxfId="13" priority="16" operator="lessThan">
      <formula>0</formula>
    </cfRule>
  </conditionalFormatting>
  <conditionalFormatting sqref="C4:N4 D5:N13 E14:N14 F15:N22 D17:E21 D26:E30 F26:N34 E31 D31:D32 D52:M69 D136:J136">
    <cfRule type="cellIs" dxfId="12" priority="64" operator="lessThan">
      <formula>0</formula>
    </cfRule>
  </conditionalFormatting>
  <conditionalFormatting sqref="D99 H99">
    <cfRule type="cellIs" dxfId="11" priority="7" operator="lessThan">
      <formula>0</formula>
    </cfRule>
  </conditionalFormatting>
  <conditionalFormatting sqref="D113 H113">
    <cfRule type="cellIs" dxfId="10" priority="6" operator="lessThan">
      <formula>0</formula>
    </cfRule>
  </conditionalFormatting>
  <conditionalFormatting sqref="D135">
    <cfRule type="cellIs" dxfId="9" priority="3" operator="lessThan">
      <formula>0</formula>
    </cfRule>
  </conditionalFormatting>
  <conditionalFormatting sqref="D101:G110">
    <cfRule type="cellIs" dxfId="8" priority="5" operator="lessThan">
      <formula>0</formula>
    </cfRule>
  </conditionalFormatting>
  <conditionalFormatting sqref="D115:G124">
    <cfRule type="cellIs" dxfId="7" priority="4" operator="lessThan">
      <formula>0</formula>
    </cfRule>
  </conditionalFormatting>
  <conditionalFormatting sqref="D73:M79">
    <cfRule type="cellIs" dxfId="6" priority="13" operator="lessThan">
      <formula>0</formula>
    </cfRule>
  </conditionalFormatting>
  <conditionalFormatting sqref="D35:N41 D82:M88 B136">
    <cfRule type="cellIs" dxfId="5" priority="33" operator="lessThan">
      <formula>0</formula>
    </cfRule>
  </conditionalFormatting>
  <conditionalFormatting sqref="D128:P130">
    <cfRule type="cellIs" dxfId="4" priority="1" operator="lessThan">
      <formula>0</formula>
    </cfRule>
  </conditionalFormatting>
  <conditionalFormatting sqref="F80:M81">
    <cfRule type="cellIs" dxfId="3" priority="10" operator="lessThan">
      <formula>0</formula>
    </cfRule>
  </conditionalFormatting>
  <conditionalFormatting sqref="H135">
    <cfRule type="cellIs" dxfId="2" priority="2" operator="lessThan">
      <formula>0</formula>
    </cfRule>
  </conditionalFormatting>
  <conditionalFormatting sqref="S14:AA14">
    <cfRule type="cellIs" dxfId="1" priority="22" operator="lessThan">
      <formula>0</formula>
    </cfRule>
  </conditionalFormatting>
  <conditionalFormatting sqref="S22:AA22">
    <cfRule type="cellIs" dxfId="0" priority="23" operator="lessThan">
      <formula>0</formula>
    </cfRule>
  </conditionalFormatting>
  <pageMargins left="0.7" right="0.7" top="0.78740157499999996" bottom="0.78740157499999996" header="0.3" footer="0.3"/>
  <pageSetup paperSize="9" orientation="portrait" horizontalDpi="1200" verticalDpi="1200" r:id="rId1"/>
  <ignoredErrors>
    <ignoredError sqref="F18:N18" 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A7931-5E24-445C-9EAD-6ECA22A3C26C}">
  <dimension ref="A1:P83"/>
  <sheetViews>
    <sheetView showGridLines="0" topLeftCell="A34" workbookViewId="0">
      <selection activeCell="B34" sqref="B34"/>
    </sheetView>
  </sheetViews>
  <sheetFormatPr defaultColWidth="9.21875" defaultRowHeight="14.4" x14ac:dyDescent="0.3"/>
  <cols>
    <col min="1" max="1" width="5.77734375" customWidth="1"/>
    <col min="2" max="2" width="58" customWidth="1"/>
    <col min="4" max="4" width="9.77734375" customWidth="1"/>
    <col min="5" max="5" width="15.77734375" customWidth="1"/>
    <col min="12" max="12" width="8.77734375" customWidth="1"/>
  </cols>
  <sheetData>
    <row r="1" spans="1:16" ht="18" x14ac:dyDescent="0.35">
      <c r="A1" s="59"/>
      <c r="B1" s="180" t="s">
        <v>253</v>
      </c>
      <c r="C1" s="208"/>
      <c r="D1" s="209"/>
      <c r="E1" s="210"/>
      <c r="F1" s="100"/>
      <c r="G1" s="100"/>
      <c r="H1" s="100"/>
      <c r="I1" s="100"/>
      <c r="J1" s="100"/>
      <c r="K1" s="100"/>
      <c r="L1" s="101"/>
    </row>
    <row r="2" spans="1:16" x14ac:dyDescent="0.3">
      <c r="B2" s="211" t="s">
        <v>276</v>
      </c>
      <c r="C2" s="211"/>
      <c r="D2" s="288"/>
      <c r="E2" s="288"/>
      <c r="F2" s="288"/>
      <c r="K2" s="288"/>
      <c r="L2" s="337"/>
      <c r="M2" s="288"/>
      <c r="N2" s="288"/>
      <c r="O2" s="288"/>
      <c r="P2" s="288"/>
    </row>
    <row r="3" spans="1:16" x14ac:dyDescent="0.3">
      <c r="B3" s="211"/>
      <c r="C3" s="211"/>
      <c r="D3" s="288"/>
      <c r="E3" s="288"/>
      <c r="F3" s="288"/>
      <c r="K3" s="288"/>
      <c r="L3" s="337"/>
      <c r="M3" s="288"/>
      <c r="N3" s="288"/>
      <c r="O3" s="288"/>
      <c r="P3" s="288"/>
    </row>
    <row r="4" spans="1:16" ht="14.55" customHeight="1" x14ac:dyDescent="0.35">
      <c r="B4" s="181" t="s">
        <v>254</v>
      </c>
      <c r="C4" s="181" t="s">
        <v>74</v>
      </c>
      <c r="D4" s="181" t="s">
        <v>255</v>
      </c>
      <c r="E4" s="182" t="s">
        <v>256</v>
      </c>
      <c r="G4" s="13"/>
      <c r="H4" s="13"/>
      <c r="I4" s="13"/>
      <c r="J4" s="13"/>
      <c r="K4" s="13"/>
      <c r="L4" s="75"/>
    </row>
    <row r="5" spans="1:16" ht="16.2" customHeight="1" x14ac:dyDescent="0.35">
      <c r="B5" s="185" t="s">
        <v>257</v>
      </c>
      <c r="C5" s="188">
        <v>0.1</v>
      </c>
      <c r="D5" s="186">
        <v>0.1</v>
      </c>
      <c r="E5" s="187" t="s">
        <v>258</v>
      </c>
      <c r="G5" s="13"/>
      <c r="H5" s="13"/>
      <c r="I5" s="13"/>
      <c r="J5" s="13"/>
      <c r="K5" s="13"/>
      <c r="L5" s="75"/>
    </row>
    <row r="6" spans="1:16" ht="15.6" customHeight="1" x14ac:dyDescent="0.35">
      <c r="B6" s="185" t="s">
        <v>259</v>
      </c>
      <c r="C6" s="188">
        <v>0</v>
      </c>
      <c r="D6" s="186">
        <v>0</v>
      </c>
      <c r="E6" s="187" t="s">
        <v>260</v>
      </c>
      <c r="G6" s="13"/>
      <c r="H6" s="13"/>
      <c r="I6" s="13"/>
      <c r="J6" s="13"/>
      <c r="K6" s="13"/>
      <c r="L6" s="75"/>
    </row>
    <row r="7" spans="1:16" ht="18" customHeight="1" x14ac:dyDescent="0.35">
      <c r="B7" s="185" t="s">
        <v>261</v>
      </c>
      <c r="C7" s="188">
        <v>-7.2999999999999995E-2</v>
      </c>
      <c r="D7" s="186">
        <v>-7.2999999999999995E-2</v>
      </c>
      <c r="E7" s="187" t="s">
        <v>262</v>
      </c>
      <c r="G7" s="13"/>
      <c r="H7" s="13"/>
      <c r="I7" s="13"/>
      <c r="J7" s="13"/>
      <c r="K7" s="13"/>
      <c r="L7" s="75"/>
    </row>
    <row r="8" spans="1:16" ht="15.6" customHeight="1" x14ac:dyDescent="0.35">
      <c r="B8" s="338" t="s">
        <v>263</v>
      </c>
      <c r="C8" s="183">
        <v>0</v>
      </c>
      <c r="D8" s="339">
        <v>0</v>
      </c>
      <c r="E8" s="184" t="s">
        <v>264</v>
      </c>
      <c r="F8" s="13"/>
      <c r="G8" s="13"/>
      <c r="H8" s="13"/>
      <c r="I8" s="13"/>
      <c r="J8" s="13"/>
      <c r="K8" s="13"/>
      <c r="L8" s="75"/>
    </row>
    <row r="9" spans="1:16" ht="15" customHeight="1" x14ac:dyDescent="0.35">
      <c r="B9" s="338" t="s">
        <v>105</v>
      </c>
      <c r="C9" s="183">
        <v>0.4</v>
      </c>
      <c r="D9" s="339">
        <v>0.4</v>
      </c>
      <c r="E9" s="184" t="s">
        <v>265</v>
      </c>
      <c r="F9" s="13"/>
      <c r="G9" s="13"/>
      <c r="H9" s="13"/>
      <c r="I9" s="13"/>
      <c r="J9" s="13"/>
      <c r="K9" s="13"/>
      <c r="L9" s="75"/>
    </row>
    <row r="10" spans="1:16" ht="16.2" customHeight="1" x14ac:dyDescent="0.35">
      <c r="B10" s="338" t="s">
        <v>266</v>
      </c>
      <c r="C10" s="183">
        <v>0.05</v>
      </c>
      <c r="D10" s="339">
        <v>0.05</v>
      </c>
      <c r="E10" s="184" t="s">
        <v>265</v>
      </c>
      <c r="F10" s="13"/>
      <c r="G10" s="13"/>
      <c r="H10" s="13"/>
      <c r="I10" s="13"/>
      <c r="J10" s="13"/>
      <c r="K10" s="13"/>
      <c r="L10" s="75"/>
    </row>
    <row r="11" spans="1:16" ht="15" customHeight="1" x14ac:dyDescent="0.35">
      <c r="B11" s="338" t="s">
        <v>267</v>
      </c>
      <c r="C11" s="183">
        <v>0.05</v>
      </c>
      <c r="D11" s="339">
        <v>0.05</v>
      </c>
      <c r="E11" s="184" t="s">
        <v>265</v>
      </c>
      <c r="F11" s="13"/>
      <c r="G11" s="13"/>
      <c r="H11" s="13"/>
      <c r="I11" s="13"/>
      <c r="J11" s="13"/>
      <c r="K11" s="13"/>
      <c r="L11" s="75"/>
    </row>
    <row r="12" spans="1:16" ht="16.2" customHeight="1" x14ac:dyDescent="0.35">
      <c r="B12" s="338" t="s">
        <v>268</v>
      </c>
      <c r="C12" s="183">
        <v>0.35</v>
      </c>
      <c r="D12" s="339">
        <v>0.35</v>
      </c>
      <c r="E12" s="184" t="s">
        <v>265</v>
      </c>
      <c r="F12" s="13"/>
      <c r="G12" s="13"/>
      <c r="H12" s="13"/>
      <c r="I12" s="13"/>
      <c r="J12" s="13"/>
      <c r="K12" s="13"/>
      <c r="L12" s="75"/>
    </row>
    <row r="13" spans="1:16" ht="15.6" customHeight="1" x14ac:dyDescent="0.35">
      <c r="B13" s="338" t="s">
        <v>269</v>
      </c>
      <c r="C13" s="183">
        <v>0.35</v>
      </c>
      <c r="D13" s="339">
        <v>0.35</v>
      </c>
      <c r="E13" s="184" t="s">
        <v>265</v>
      </c>
      <c r="F13" s="13"/>
      <c r="G13" s="13"/>
      <c r="H13" s="13"/>
      <c r="I13" s="13"/>
      <c r="J13" s="13"/>
      <c r="K13" s="13"/>
      <c r="L13" s="75"/>
    </row>
    <row r="14" spans="1:16" ht="15.6" customHeight="1" x14ac:dyDescent="0.35">
      <c r="B14" s="365"/>
      <c r="C14" s="365"/>
      <c r="D14" s="366"/>
      <c r="E14" s="367"/>
      <c r="F14" s="13"/>
      <c r="G14" s="13"/>
      <c r="H14" s="13"/>
      <c r="I14" s="13"/>
      <c r="J14" s="13"/>
      <c r="K14" s="13"/>
      <c r="L14" s="75"/>
    </row>
    <row r="15" spans="1:16" ht="15.6" customHeight="1" x14ac:dyDescent="0.35">
      <c r="B15" s="362" t="s">
        <v>298</v>
      </c>
      <c r="C15" s="363">
        <v>0</v>
      </c>
      <c r="D15" s="364">
        <v>0</v>
      </c>
      <c r="E15" s="184" t="s">
        <v>300</v>
      </c>
      <c r="F15" s="13"/>
      <c r="G15" s="13"/>
      <c r="H15" s="13"/>
      <c r="I15" s="13"/>
      <c r="J15" s="13"/>
      <c r="K15" s="13"/>
      <c r="L15" s="75"/>
    </row>
    <row r="16" spans="1:16" ht="15.6" customHeight="1" x14ac:dyDescent="0.35">
      <c r="B16" s="362" t="s">
        <v>299</v>
      </c>
      <c r="C16" s="363">
        <v>0</v>
      </c>
      <c r="D16" s="364">
        <v>0</v>
      </c>
      <c r="E16" s="184" t="s">
        <v>301</v>
      </c>
      <c r="F16" s="13"/>
      <c r="G16" s="13"/>
      <c r="H16" s="13"/>
      <c r="I16" s="13"/>
      <c r="J16" s="13"/>
      <c r="K16" s="13"/>
      <c r="L16" s="75"/>
    </row>
    <row r="17" spans="2:12" ht="16.2" customHeight="1" x14ac:dyDescent="0.35">
      <c r="B17" s="340"/>
      <c r="C17" s="340"/>
      <c r="D17" s="341"/>
      <c r="E17" s="205"/>
      <c r="F17" s="13"/>
      <c r="G17" s="13"/>
      <c r="H17" s="13"/>
      <c r="I17" s="13"/>
      <c r="J17" s="13"/>
      <c r="K17" s="13"/>
      <c r="L17" s="75"/>
    </row>
    <row r="18" spans="2:12" ht="18" x14ac:dyDescent="0.35">
      <c r="B18" s="350" t="s">
        <v>277</v>
      </c>
      <c r="C18" s="351">
        <f>SROI!C159</f>
        <v>7.9186913069726845</v>
      </c>
      <c r="D18" s="212"/>
      <c r="E18" s="170"/>
      <c r="F18" s="13"/>
      <c r="G18" s="13"/>
      <c r="H18" s="13"/>
      <c r="I18" s="13"/>
      <c r="J18" s="13"/>
      <c r="K18" s="13"/>
      <c r="L18" s="75"/>
    </row>
    <row r="19" spans="2:12" x14ac:dyDescent="0.3">
      <c r="B19" s="59"/>
      <c r="C19" s="59"/>
      <c r="L19" s="10"/>
    </row>
    <row r="20" spans="2:12" x14ac:dyDescent="0.3">
      <c r="L20" s="10"/>
    </row>
    <row r="21" spans="2:12" x14ac:dyDescent="0.3">
      <c r="B21" t="s">
        <v>257</v>
      </c>
      <c r="C21" t="s">
        <v>20</v>
      </c>
      <c r="E21" t="s">
        <v>270</v>
      </c>
      <c r="F21" t="s">
        <v>20</v>
      </c>
      <c r="L21" s="10"/>
    </row>
    <row r="22" spans="2:12" x14ac:dyDescent="0.3">
      <c r="B22" s="213">
        <v>0.15</v>
      </c>
      <c r="C22">
        <v>6.9</v>
      </c>
      <c r="E22" s="213">
        <v>0.15</v>
      </c>
      <c r="F22">
        <v>9.3000000000000007</v>
      </c>
      <c r="L22" s="10"/>
    </row>
    <row r="23" spans="2:12" x14ac:dyDescent="0.3">
      <c r="B23" s="213">
        <f>D5</f>
        <v>0.1</v>
      </c>
      <c r="C23">
        <v>7.9</v>
      </c>
      <c r="E23" s="213">
        <v>0.1</v>
      </c>
      <c r="F23">
        <v>8.8000000000000007</v>
      </c>
      <c r="L23" s="10"/>
    </row>
    <row r="24" spans="2:12" x14ac:dyDescent="0.3">
      <c r="B24" s="213">
        <v>0.05</v>
      </c>
      <c r="C24">
        <v>9.1999999999999993</v>
      </c>
      <c r="E24" s="213">
        <v>0</v>
      </c>
      <c r="F24">
        <v>7.9</v>
      </c>
      <c r="L24" s="10"/>
    </row>
    <row r="25" spans="2:12" x14ac:dyDescent="0.3">
      <c r="B25" s="213">
        <v>0</v>
      </c>
      <c r="C25">
        <v>10.7</v>
      </c>
      <c r="L25" s="10"/>
    </row>
    <row r="26" spans="2:12" x14ac:dyDescent="0.3">
      <c r="L26" s="10"/>
    </row>
    <row r="27" spans="2:12" x14ac:dyDescent="0.3">
      <c r="L27" s="10"/>
    </row>
    <row r="28" spans="2:12" x14ac:dyDescent="0.3">
      <c r="L28" s="10"/>
    </row>
    <row r="29" spans="2:12" x14ac:dyDescent="0.3">
      <c r="L29" s="10"/>
    </row>
    <row r="30" spans="2:12" x14ac:dyDescent="0.3">
      <c r="L30" s="10"/>
    </row>
    <row r="31" spans="2:12" x14ac:dyDescent="0.3">
      <c r="L31" s="10"/>
    </row>
    <row r="32" spans="2:12" x14ac:dyDescent="0.3">
      <c r="L32" s="10"/>
    </row>
    <row r="33" spans="2:12" x14ac:dyDescent="0.3">
      <c r="B33" s="387" t="s">
        <v>314</v>
      </c>
      <c r="L33" s="10"/>
    </row>
    <row r="34" spans="2:12" x14ac:dyDescent="0.3">
      <c r="B34" s="387" t="s">
        <v>315</v>
      </c>
      <c r="L34" s="10"/>
    </row>
    <row r="35" spans="2:12" x14ac:dyDescent="0.3">
      <c r="L35" s="10"/>
    </row>
    <row r="36" spans="2:12" x14ac:dyDescent="0.3">
      <c r="D36" s="2" t="s">
        <v>271</v>
      </c>
      <c r="E36" s="288"/>
      <c r="F36" s="288" t="s">
        <v>272</v>
      </c>
      <c r="G36" s="288"/>
      <c r="H36" s="288"/>
      <c r="I36" s="288"/>
      <c r="J36" s="288"/>
      <c r="K36" s="288"/>
      <c r="L36" s="337"/>
    </row>
    <row r="37" spans="2:12" ht="14.55" customHeight="1" x14ac:dyDescent="0.3">
      <c r="B37" s="443" t="s">
        <v>316</v>
      </c>
      <c r="C37" s="444"/>
      <c r="D37" s="442" t="s">
        <v>273</v>
      </c>
      <c r="E37" s="214">
        <f>C18</f>
        <v>7.9186913069726845</v>
      </c>
      <c r="F37" s="342">
        <v>0.03</v>
      </c>
      <c r="G37" s="343">
        <v>0.05</v>
      </c>
      <c r="H37" s="342">
        <v>0.1</v>
      </c>
      <c r="I37" s="342">
        <v>0.3</v>
      </c>
      <c r="J37" s="342">
        <v>0.5</v>
      </c>
      <c r="K37" s="342">
        <v>0.75</v>
      </c>
      <c r="L37" s="344">
        <v>0.9</v>
      </c>
    </row>
    <row r="38" spans="2:12" x14ac:dyDescent="0.3">
      <c r="B38" s="444"/>
      <c r="C38" s="444"/>
      <c r="D38" s="442"/>
      <c r="E38" s="345">
        <v>0.05</v>
      </c>
      <c r="F38" s="336">
        <f t="dataTable" ref="F38:L44" dt2D="1" dtr="1" r1="C10" r2="C9"/>
        <v>1.897053714859118</v>
      </c>
      <c r="G38" s="336">
        <v>1.9016218635914497</v>
      </c>
      <c r="H38" s="336">
        <v>1.9130422354222791</v>
      </c>
      <c r="I38" s="336">
        <v>1.9587237227455969</v>
      </c>
      <c r="J38" s="336">
        <v>2.0044052100689149</v>
      </c>
      <c r="K38" s="336">
        <v>2.0615070692230621</v>
      </c>
      <c r="L38" s="346">
        <v>2.0957681847155505</v>
      </c>
    </row>
    <row r="39" spans="2:12" x14ac:dyDescent="0.3">
      <c r="B39" s="444"/>
      <c r="C39" s="444"/>
      <c r="D39" s="442"/>
      <c r="E39" s="345">
        <v>0.1</v>
      </c>
      <c r="F39" s="336">
        <v>2.7564592933891094</v>
      </c>
      <c r="G39" s="336">
        <v>2.7612032126459121</v>
      </c>
      <c r="H39" s="336">
        <v>2.7730630107879186</v>
      </c>
      <c r="I39" s="336">
        <v>2.8205022033559457</v>
      </c>
      <c r="J39" s="336">
        <v>2.8679413959239723</v>
      </c>
      <c r="K39" s="336">
        <v>2.927240386634006</v>
      </c>
      <c r="L39" s="346">
        <v>2.9628197810600261</v>
      </c>
    </row>
    <row r="40" spans="2:12" x14ac:dyDescent="0.3">
      <c r="B40" s="444"/>
      <c r="C40" s="444"/>
      <c r="D40" s="442"/>
      <c r="E40" s="345">
        <v>0.15</v>
      </c>
      <c r="F40" s="336">
        <v>3.6158648719190993</v>
      </c>
      <c r="G40" s="336">
        <v>3.6207845617003724</v>
      </c>
      <c r="H40" s="336">
        <v>3.6330837861535574</v>
      </c>
      <c r="I40" s="336">
        <v>3.6822806839662925</v>
      </c>
      <c r="J40" s="336">
        <v>3.7314775817790298</v>
      </c>
      <c r="K40" s="336">
        <v>3.7929737040449489</v>
      </c>
      <c r="L40" s="346">
        <v>3.8298713774045003</v>
      </c>
    </row>
    <row r="41" spans="2:12" x14ac:dyDescent="0.3">
      <c r="B41" s="444"/>
      <c r="C41" s="444"/>
      <c r="D41" s="442"/>
      <c r="E41" s="345">
        <v>0.2</v>
      </c>
      <c r="F41" s="336">
        <v>4.4752704504490923</v>
      </c>
      <c r="G41" s="336">
        <v>4.4803659107548359</v>
      </c>
      <c r="H41" s="336">
        <v>4.4931045615191971</v>
      </c>
      <c r="I41" s="336">
        <v>4.5440591645766419</v>
      </c>
      <c r="J41" s="336">
        <v>4.5950137676340868</v>
      </c>
      <c r="K41" s="336">
        <v>4.6587070214558937</v>
      </c>
      <c r="L41" s="346">
        <v>4.6969229737489773</v>
      </c>
    </row>
    <row r="42" spans="2:12" x14ac:dyDescent="0.3">
      <c r="B42" s="444"/>
      <c r="C42" s="444"/>
      <c r="D42" s="442"/>
      <c r="E42" s="345">
        <v>0.25</v>
      </c>
      <c r="F42" s="336">
        <v>5.3346760289790822</v>
      </c>
      <c r="G42" s="336">
        <v>5.3399472598092972</v>
      </c>
      <c r="H42" s="336">
        <v>5.3531253368848351</v>
      </c>
      <c r="I42" s="336">
        <v>5.4058376451869901</v>
      </c>
      <c r="J42" s="336">
        <v>5.4585499534891433</v>
      </c>
      <c r="K42" s="336">
        <v>5.5244403388668353</v>
      </c>
      <c r="L42" s="346">
        <v>5.5639745700934506</v>
      </c>
    </row>
    <row r="43" spans="2:12" x14ac:dyDescent="0.3">
      <c r="B43" s="444"/>
      <c r="C43" s="444"/>
      <c r="D43" s="442"/>
      <c r="E43" s="345">
        <v>0.3</v>
      </c>
      <c r="F43" s="336">
        <v>6.1940816075090739</v>
      </c>
      <c r="G43" s="336">
        <v>6.1995286088637576</v>
      </c>
      <c r="H43" s="336">
        <v>6.2131461122504756</v>
      </c>
      <c r="I43" s="336">
        <v>6.2676161257973391</v>
      </c>
      <c r="J43" s="336">
        <v>6.3220861393442007</v>
      </c>
      <c r="K43" s="336">
        <v>6.3901736562777787</v>
      </c>
      <c r="L43" s="346">
        <v>6.4310261664379258</v>
      </c>
    </row>
    <row r="44" spans="2:12" ht="16.95" customHeight="1" x14ac:dyDescent="0.3">
      <c r="B44" s="444"/>
      <c r="C44" s="444"/>
      <c r="D44" s="442"/>
      <c r="E44" s="347">
        <v>0.4</v>
      </c>
      <c r="F44" s="336">
        <v>7.9128927645690581</v>
      </c>
      <c r="G44" s="348">
        <v>7.9186913069726845</v>
      </c>
      <c r="H44" s="336">
        <v>7.933187662981755</v>
      </c>
      <c r="I44" s="336">
        <v>7.9911730870180371</v>
      </c>
      <c r="J44" s="336">
        <v>8.0491585110543173</v>
      </c>
      <c r="K44" s="336">
        <v>8.1216402910996699</v>
      </c>
      <c r="L44" s="346">
        <v>8.1651293591268779</v>
      </c>
    </row>
    <row r="45" spans="2:12" x14ac:dyDescent="0.3">
      <c r="B45" s="444"/>
      <c r="C45" s="444"/>
      <c r="D45" s="288"/>
      <c r="E45" s="335"/>
      <c r="F45" s="336"/>
      <c r="G45" s="336"/>
      <c r="H45" s="336"/>
      <c r="I45" s="336"/>
      <c r="J45" s="336"/>
      <c r="K45" s="336"/>
      <c r="L45" s="346"/>
    </row>
    <row r="46" spans="2:12" x14ac:dyDescent="0.3">
      <c r="B46" s="349"/>
      <c r="D46" s="288"/>
      <c r="E46" s="288"/>
      <c r="F46" s="288"/>
      <c r="G46" s="288"/>
      <c r="H46" s="288"/>
      <c r="I46" s="288"/>
      <c r="J46" s="288"/>
      <c r="K46" s="288"/>
      <c r="L46" s="337"/>
    </row>
    <row r="47" spans="2:12" x14ac:dyDescent="0.3">
      <c r="B47" s="349"/>
      <c r="D47" s="288"/>
      <c r="E47" s="288"/>
      <c r="F47" s="288" t="s">
        <v>272</v>
      </c>
      <c r="G47" s="288"/>
      <c r="H47" s="288"/>
      <c r="I47" s="288"/>
      <c r="J47" s="288"/>
      <c r="K47" s="288"/>
      <c r="L47" s="337"/>
    </row>
    <row r="48" spans="2:12" ht="14.55" customHeight="1" x14ac:dyDescent="0.3">
      <c r="B48" s="440" t="s">
        <v>317</v>
      </c>
      <c r="C48" s="441"/>
      <c r="D48" s="442" t="s">
        <v>274</v>
      </c>
      <c r="E48" s="214">
        <f>C18</f>
        <v>7.9186913069726845</v>
      </c>
      <c r="F48" s="342">
        <v>0.03</v>
      </c>
      <c r="G48" s="343">
        <v>0.05</v>
      </c>
      <c r="H48" s="342">
        <v>0.1</v>
      </c>
      <c r="I48" s="342">
        <v>0.3</v>
      </c>
      <c r="J48" s="342">
        <v>0.5</v>
      </c>
      <c r="K48" s="342">
        <v>0.75</v>
      </c>
      <c r="L48" s="344">
        <v>1</v>
      </c>
    </row>
    <row r="49" spans="2:12" x14ac:dyDescent="0.3">
      <c r="B49" s="441"/>
      <c r="C49" s="441"/>
      <c r="D49" s="442"/>
      <c r="E49" s="347">
        <v>0.05</v>
      </c>
      <c r="F49" s="336">
        <f t="dataTable" ref="F49:L53" dt2D="1" dtr="1" r1="C10" r2="C11" ca="1"/>
        <v>7.9128927645690581</v>
      </c>
      <c r="G49" s="348">
        <v>7.9186913069726845</v>
      </c>
      <c r="H49" s="336">
        <v>7.933187662981755</v>
      </c>
      <c r="I49" s="336">
        <v>7.9911730870180371</v>
      </c>
      <c r="J49" s="336">
        <v>8.0491585110543173</v>
      </c>
      <c r="K49" s="336">
        <v>8.1216402910996699</v>
      </c>
      <c r="L49" s="346">
        <v>8.1941220711450207</v>
      </c>
    </row>
    <row r="50" spans="2:12" x14ac:dyDescent="0.3">
      <c r="B50" s="441"/>
      <c r="C50" s="441"/>
      <c r="D50" s="442"/>
      <c r="E50" s="345">
        <v>0.1</v>
      </c>
      <c r="F50" s="336">
        <v>7.9215905781744986</v>
      </c>
      <c r="G50" s="336">
        <v>7.933187662981755</v>
      </c>
      <c r="H50" s="336">
        <v>7.9621803749998952</v>
      </c>
      <c r="I50" s="336">
        <v>8.0781512230724566</v>
      </c>
      <c r="J50" s="336">
        <v>8.1941220711450207</v>
      </c>
      <c r="K50" s="336">
        <v>8.3390856312357204</v>
      </c>
      <c r="L50" s="346">
        <v>8.4840491913264238</v>
      </c>
    </row>
    <row r="51" spans="2:12" x14ac:dyDescent="0.3">
      <c r="B51" s="441"/>
      <c r="C51" s="441"/>
      <c r="D51" s="442"/>
      <c r="E51" s="345">
        <v>0.25</v>
      </c>
      <c r="F51" s="336">
        <v>7.9476840189908238</v>
      </c>
      <c r="G51" s="336">
        <v>7.9766767310089666</v>
      </c>
      <c r="H51" s="336">
        <v>8.0491585110543173</v>
      </c>
      <c r="I51" s="336">
        <v>8.3390856312357204</v>
      </c>
      <c r="J51" s="336">
        <v>8.6290127514171253</v>
      </c>
      <c r="K51" s="336">
        <v>8.9914216516438792</v>
      </c>
      <c r="L51" s="346">
        <v>9.3538305518706331</v>
      </c>
    </row>
    <row r="52" spans="2:12" x14ac:dyDescent="0.3">
      <c r="B52" s="441"/>
      <c r="C52" s="441"/>
      <c r="D52" s="442"/>
      <c r="E52" s="345">
        <v>0.5</v>
      </c>
      <c r="F52" s="336">
        <v>7.9911730870180371</v>
      </c>
      <c r="G52" s="336">
        <v>8.0491585110543173</v>
      </c>
      <c r="H52" s="336">
        <v>8.1941220711450207</v>
      </c>
      <c r="I52" s="336">
        <v>8.7739763115078286</v>
      </c>
      <c r="J52" s="336">
        <v>9.3538305518706331</v>
      </c>
      <c r="K52" s="336">
        <v>10.078648352324148</v>
      </c>
      <c r="L52" s="346">
        <v>10.803466152777657</v>
      </c>
    </row>
    <row r="53" spans="2:12" x14ac:dyDescent="0.3">
      <c r="B53" s="441"/>
      <c r="C53" s="441"/>
      <c r="D53" s="442"/>
      <c r="E53" s="345">
        <v>0.75</v>
      </c>
      <c r="F53" s="336">
        <v>8.0346621550452468</v>
      </c>
      <c r="G53" s="336">
        <v>8.1216402910996699</v>
      </c>
      <c r="H53" s="336">
        <v>8.3390856312357204</v>
      </c>
      <c r="I53" s="336">
        <v>9.2088669917799333</v>
      </c>
      <c r="J53" s="336">
        <v>10.078648352324148</v>
      </c>
      <c r="K53" s="336">
        <v>11.165875053004411</v>
      </c>
      <c r="L53" s="346">
        <v>12.253101753684678</v>
      </c>
    </row>
    <row r="54" spans="2:12" x14ac:dyDescent="0.3">
      <c r="B54" s="441"/>
      <c r="C54" s="441"/>
      <c r="D54" s="442"/>
      <c r="E54" s="335"/>
      <c r="F54" s="336"/>
      <c r="G54" s="336"/>
      <c r="H54" s="336"/>
      <c r="I54" s="336"/>
      <c r="J54" s="336"/>
      <c r="K54" s="336"/>
      <c r="L54" s="346"/>
    </row>
    <row r="55" spans="2:12" x14ac:dyDescent="0.3">
      <c r="B55" s="359"/>
      <c r="C55" s="359"/>
      <c r="D55" s="360"/>
      <c r="E55" s="335"/>
      <c r="F55" s="336"/>
      <c r="G55" s="336"/>
      <c r="H55" s="336"/>
      <c r="I55" s="336"/>
      <c r="J55" s="336"/>
      <c r="K55" s="336"/>
      <c r="L55" s="346"/>
    </row>
    <row r="56" spans="2:12" x14ac:dyDescent="0.3">
      <c r="B56" s="359"/>
      <c r="C56" s="359"/>
      <c r="D56" s="360"/>
      <c r="E56" s="335"/>
      <c r="F56" s="336"/>
      <c r="G56" s="336"/>
      <c r="H56" s="336"/>
      <c r="I56" s="336"/>
      <c r="J56" s="336"/>
      <c r="K56" s="336"/>
      <c r="L56" s="346"/>
    </row>
    <row r="57" spans="2:12" ht="15.6" customHeight="1" x14ac:dyDescent="0.3">
      <c r="B57" s="438" t="s">
        <v>318</v>
      </c>
      <c r="C57" s="439"/>
      <c r="D57" s="360"/>
      <c r="E57" s="335"/>
      <c r="F57" s="379" t="s">
        <v>311</v>
      </c>
      <c r="G57" s="336"/>
      <c r="H57" s="336"/>
      <c r="I57" s="336"/>
      <c r="J57" s="336"/>
      <c r="K57" s="336"/>
      <c r="L57" s="346"/>
    </row>
    <row r="58" spans="2:12" ht="18.600000000000001" customHeight="1" x14ac:dyDescent="0.3">
      <c r="B58" s="439"/>
      <c r="C58" s="439"/>
      <c r="D58" s="437" t="s">
        <v>273</v>
      </c>
      <c r="E58" s="214">
        <f>C18</f>
        <v>7.9186913069726845</v>
      </c>
      <c r="F58" s="335">
        <v>-0.3</v>
      </c>
      <c r="G58" s="335">
        <v>-0.2</v>
      </c>
      <c r="H58" s="335">
        <v>-0.1</v>
      </c>
      <c r="I58" s="381">
        <v>0</v>
      </c>
      <c r="J58" s="335">
        <v>0.1</v>
      </c>
      <c r="K58" s="335">
        <v>0.2</v>
      </c>
      <c r="L58" s="345">
        <v>0.3</v>
      </c>
    </row>
    <row r="59" spans="2:12" x14ac:dyDescent="0.3">
      <c r="B59" s="439"/>
      <c r="C59" s="439"/>
      <c r="D59" s="437"/>
      <c r="E59" s="335">
        <v>0.05</v>
      </c>
      <c r="F59" s="382">
        <f t="dataTable" ref="F59:L65" dt2D="1" dtr="1" r1="C6" r2="C9" ca="1"/>
        <v>1.3449116023380376</v>
      </c>
      <c r="G59" s="383">
        <v>1.4637460769676087</v>
      </c>
      <c r="H59" s="383">
        <v>1.6380586755855326</v>
      </c>
      <c r="I59" s="383">
        <v>1.9016218635914497</v>
      </c>
      <c r="J59" s="383">
        <v>2.3080815105449699</v>
      </c>
      <c r="K59" s="383">
        <v>2.9408378397580872</v>
      </c>
      <c r="L59" s="384">
        <v>3.9267307289426725</v>
      </c>
    </row>
    <row r="60" spans="2:12" x14ac:dyDescent="0.3">
      <c r="B60" s="439"/>
      <c r="C60" s="439"/>
      <c r="D60" s="437"/>
      <c r="E60" s="335">
        <v>0.1</v>
      </c>
      <c r="F60" s="385">
        <v>1.6551299241142272</v>
      </c>
      <c r="G60" s="336">
        <v>1.8913274455851172</v>
      </c>
      <c r="H60" s="336">
        <v>2.2376807984304863</v>
      </c>
      <c r="I60" s="336">
        <v>2.7612032126459121</v>
      </c>
      <c r="J60" s="336">
        <v>3.5683255036477588</v>
      </c>
      <c r="K60" s="336">
        <v>4.8244891214011112</v>
      </c>
      <c r="L60" s="346">
        <v>6.7812815649317448</v>
      </c>
    </row>
    <row r="61" spans="2:12" x14ac:dyDescent="0.3">
      <c r="B61" s="439"/>
      <c r="C61" s="439"/>
      <c r="D61" s="437"/>
      <c r="E61" s="335">
        <v>0.15</v>
      </c>
      <c r="F61" s="385">
        <v>1.9653482458904159</v>
      </c>
      <c r="G61" s="336">
        <v>2.3189088142026244</v>
      </c>
      <c r="H61" s="336">
        <v>2.8373029212754397</v>
      </c>
      <c r="I61" s="336">
        <v>3.6207845617003724</v>
      </c>
      <c r="J61" s="336">
        <v>4.8285694967505446</v>
      </c>
      <c r="K61" s="336">
        <v>6.7081404030441307</v>
      </c>
      <c r="L61" s="346">
        <v>9.6358324009208101</v>
      </c>
    </row>
    <row r="62" spans="2:12" x14ac:dyDescent="0.3">
      <c r="B62" s="439"/>
      <c r="C62" s="439"/>
      <c r="D62" s="437"/>
      <c r="E62" s="335">
        <v>0.2</v>
      </c>
      <c r="F62" s="385">
        <v>2.2755665676666057</v>
      </c>
      <c r="G62" s="336">
        <v>2.7464901828201334</v>
      </c>
      <c r="H62" s="336">
        <v>3.4369250441203931</v>
      </c>
      <c r="I62" s="336">
        <v>4.4803659107548359</v>
      </c>
      <c r="J62" s="336">
        <v>6.0888134898533339</v>
      </c>
      <c r="K62" s="336">
        <v>8.5917916846871574</v>
      </c>
      <c r="L62" s="346">
        <v>12.490383236909887</v>
      </c>
    </row>
    <row r="63" spans="2:12" x14ac:dyDescent="0.3">
      <c r="B63" s="439"/>
      <c r="C63" s="439"/>
      <c r="D63" s="437"/>
      <c r="E63" s="335">
        <v>0.25</v>
      </c>
      <c r="F63" s="385">
        <v>2.5857848894427944</v>
      </c>
      <c r="G63" s="336">
        <v>3.1740715514376401</v>
      </c>
      <c r="H63" s="336">
        <v>4.0365471669653461</v>
      </c>
      <c r="I63" s="336">
        <v>5.3399472598092972</v>
      </c>
      <c r="J63" s="336">
        <v>7.3490574829561215</v>
      </c>
      <c r="K63" s="336">
        <v>10.475442966330178</v>
      </c>
      <c r="L63" s="346">
        <v>15.344934072898953</v>
      </c>
    </row>
    <row r="64" spans="2:12" x14ac:dyDescent="0.3">
      <c r="B64" s="439"/>
      <c r="C64" s="439"/>
      <c r="D64" s="437"/>
      <c r="E64" s="335">
        <v>0.3</v>
      </c>
      <c r="F64" s="385">
        <v>2.8960032112189835</v>
      </c>
      <c r="G64" s="336">
        <v>3.6016529200551486</v>
      </c>
      <c r="H64" s="336">
        <v>4.6361692898103</v>
      </c>
      <c r="I64" s="336">
        <v>6.1995286088637576</v>
      </c>
      <c r="J64" s="336">
        <v>8.6093014760589082</v>
      </c>
      <c r="K64" s="336">
        <v>12.3590942479732</v>
      </c>
      <c r="L64" s="346">
        <v>18.199484908888021</v>
      </c>
    </row>
    <row r="65" spans="2:12" x14ac:dyDescent="0.3">
      <c r="B65" s="439"/>
      <c r="C65" s="439"/>
      <c r="D65" s="437"/>
      <c r="E65" s="381">
        <v>0.4</v>
      </c>
      <c r="F65" s="385">
        <v>3.516439854771364</v>
      </c>
      <c r="G65" s="336">
        <v>4.4568156572901652</v>
      </c>
      <c r="H65" s="336">
        <v>5.8354135355002086</v>
      </c>
      <c r="I65" s="348">
        <v>7.9186913069726845</v>
      </c>
      <c r="J65" s="336">
        <v>11.129789462264485</v>
      </c>
      <c r="K65" s="336">
        <v>16.126396811259252</v>
      </c>
      <c r="L65" s="346">
        <v>23.908586580866171</v>
      </c>
    </row>
    <row r="66" spans="2:12" x14ac:dyDescent="0.3">
      <c r="D66" s="288"/>
      <c r="E66" s="335"/>
      <c r="F66" s="336"/>
      <c r="G66" s="336"/>
      <c r="H66" s="336"/>
      <c r="I66" s="336"/>
      <c r="J66" s="336"/>
      <c r="K66" s="336"/>
      <c r="L66" s="346"/>
    </row>
    <row r="67" spans="2:12" x14ac:dyDescent="0.3">
      <c r="D67" s="288"/>
      <c r="E67" s="335"/>
      <c r="F67" s="336"/>
      <c r="G67" s="336"/>
      <c r="H67" s="336"/>
      <c r="I67" s="336"/>
      <c r="J67" s="336"/>
      <c r="K67" s="336"/>
      <c r="L67" s="346"/>
    </row>
    <row r="68" spans="2:12" x14ac:dyDescent="0.3">
      <c r="B68" s="440" t="s">
        <v>319</v>
      </c>
      <c r="C68" s="441"/>
      <c r="D68" s="2" t="s">
        <v>275</v>
      </c>
      <c r="E68" s="288"/>
      <c r="F68" s="288" t="s">
        <v>268</v>
      </c>
      <c r="G68" s="288"/>
      <c r="H68" s="288"/>
      <c r="I68" s="288"/>
      <c r="J68" s="288"/>
      <c r="L68" s="10"/>
    </row>
    <row r="69" spans="2:12" ht="13.2" customHeight="1" x14ac:dyDescent="0.3">
      <c r="B69" s="441"/>
      <c r="C69" s="441"/>
      <c r="D69" s="445" t="s">
        <v>269</v>
      </c>
      <c r="E69" s="214">
        <f>C18</f>
        <v>7.9186913069726845</v>
      </c>
      <c r="F69" s="343">
        <v>0.35</v>
      </c>
      <c r="G69" s="342">
        <v>0.5</v>
      </c>
      <c r="H69" s="342">
        <v>0.6</v>
      </c>
      <c r="I69" s="342">
        <v>0.7</v>
      </c>
      <c r="J69" s="342">
        <v>0.8</v>
      </c>
      <c r="L69" s="10"/>
    </row>
    <row r="70" spans="2:12" x14ac:dyDescent="0.3">
      <c r="B70" s="441"/>
      <c r="C70" s="441"/>
      <c r="D70" s="445"/>
      <c r="E70" s="347">
        <v>0.35</v>
      </c>
      <c r="F70" s="215">
        <f t="dataTable" ref="F70:J74" dt2D="1" dtr="1" r1="C12" r2="C13" ca="1"/>
        <v>7.9186913069726845</v>
      </c>
      <c r="G70" s="336">
        <v>7.9356487051132776</v>
      </c>
      <c r="H70" s="336">
        <v>7.9469536372070051</v>
      </c>
      <c r="I70" s="336">
        <v>7.9582585693007317</v>
      </c>
      <c r="J70" s="336">
        <v>7.969563501394461</v>
      </c>
      <c r="L70" s="10"/>
    </row>
    <row r="71" spans="2:12" x14ac:dyDescent="0.3">
      <c r="B71" s="441"/>
      <c r="C71" s="441"/>
      <c r="D71" s="445"/>
      <c r="E71" s="345">
        <v>0.5</v>
      </c>
      <c r="F71" s="336">
        <v>8.2261445317394699</v>
      </c>
      <c r="G71" s="336">
        <v>8.2431019298800603</v>
      </c>
      <c r="H71" s="336">
        <v>8.2544068619737896</v>
      </c>
      <c r="I71" s="336">
        <v>8.2657117940675171</v>
      </c>
      <c r="J71" s="336">
        <v>8.2770167261612446</v>
      </c>
      <c r="L71" s="10"/>
    </row>
    <row r="72" spans="2:12" x14ac:dyDescent="0.3">
      <c r="B72" s="441"/>
      <c r="C72" s="441"/>
      <c r="D72" s="445"/>
      <c r="E72" s="345">
        <v>0.6</v>
      </c>
      <c r="F72" s="336">
        <v>8.4311133482506602</v>
      </c>
      <c r="G72" s="336">
        <v>8.4480707463912523</v>
      </c>
      <c r="H72" s="336">
        <v>8.4593756784849798</v>
      </c>
      <c r="I72" s="336">
        <v>8.4706806105787038</v>
      </c>
      <c r="J72" s="336">
        <v>8.4819855426724349</v>
      </c>
      <c r="K72" s="203"/>
      <c r="L72" s="345"/>
    </row>
    <row r="73" spans="2:12" x14ac:dyDescent="0.3">
      <c r="B73" s="441"/>
      <c r="C73" s="441"/>
      <c r="D73" s="445"/>
      <c r="E73" s="345">
        <v>0.7</v>
      </c>
      <c r="F73" s="336">
        <v>8.6360821647618504</v>
      </c>
      <c r="G73" s="336">
        <v>8.6530395629024408</v>
      </c>
      <c r="H73" s="336">
        <v>8.6643444949961683</v>
      </c>
      <c r="I73" s="336">
        <v>8.6756494270898976</v>
      </c>
      <c r="J73" s="336">
        <v>8.6869543591836234</v>
      </c>
      <c r="K73" s="336"/>
      <c r="L73" s="346"/>
    </row>
    <row r="74" spans="2:12" x14ac:dyDescent="0.3">
      <c r="B74" s="441"/>
      <c r="C74" s="441"/>
      <c r="D74" s="445"/>
      <c r="E74" s="345">
        <v>0.8</v>
      </c>
      <c r="F74" s="336">
        <v>8.8410509812730425</v>
      </c>
      <c r="G74" s="336">
        <v>8.8580083794136311</v>
      </c>
      <c r="H74" s="336">
        <v>8.8693133115073586</v>
      </c>
      <c r="I74" s="336">
        <v>8.8806182436010861</v>
      </c>
      <c r="J74" s="336">
        <v>8.8919231756948172</v>
      </c>
      <c r="K74" s="336"/>
      <c r="L74" s="346"/>
    </row>
    <row r="75" spans="2:12" x14ac:dyDescent="0.3">
      <c r="B75" s="359"/>
      <c r="C75" s="359"/>
      <c r="D75" s="361"/>
      <c r="E75" s="335"/>
      <c r="F75" s="336"/>
      <c r="G75" s="336"/>
      <c r="H75" s="336"/>
      <c r="I75" s="336"/>
      <c r="J75" s="336"/>
      <c r="K75" s="336"/>
      <c r="L75" s="346"/>
    </row>
    <row r="76" spans="2:12" x14ac:dyDescent="0.3">
      <c r="D76" s="2"/>
      <c r="L76" s="10"/>
    </row>
    <row r="77" spans="2:12" x14ac:dyDescent="0.3">
      <c r="D77" s="2" t="s">
        <v>308</v>
      </c>
      <c r="F77" s="288" t="s">
        <v>310</v>
      </c>
      <c r="L77" s="10"/>
    </row>
    <row r="78" spans="2:12" x14ac:dyDescent="0.3">
      <c r="B78" s="436" t="s">
        <v>312</v>
      </c>
      <c r="D78" s="434" t="s">
        <v>309</v>
      </c>
      <c r="E78" s="214">
        <f>C18</f>
        <v>7.9186913069726845</v>
      </c>
      <c r="F78" s="386">
        <v>0</v>
      </c>
      <c r="G78" s="376">
        <v>1</v>
      </c>
      <c r="L78" s="10"/>
    </row>
    <row r="79" spans="2:12" x14ac:dyDescent="0.3">
      <c r="B79" s="436"/>
      <c r="D79" s="434"/>
      <c r="E79" s="386">
        <v>0</v>
      </c>
      <c r="F79" s="380">
        <f t="dataTable" ref="F79:G80" dt2D="1" dtr="1" r1="C15" r2="C16" ca="1"/>
        <v>7.9186913069726845</v>
      </c>
      <c r="G79" s="377">
        <v>8.2513002621324638</v>
      </c>
      <c r="L79" s="10"/>
    </row>
    <row r="80" spans="2:12" x14ac:dyDescent="0.3">
      <c r="B80" s="436"/>
      <c r="D80" s="434"/>
      <c r="E80" s="376">
        <v>1</v>
      </c>
      <c r="F80" s="378">
        <v>7.6168153738359301</v>
      </c>
      <c r="G80" s="379">
        <v>7.9494243289957103</v>
      </c>
      <c r="L80" s="10"/>
    </row>
    <row r="81" spans="1:12" x14ac:dyDescent="0.3">
      <c r="B81" s="436"/>
      <c r="D81" s="434"/>
      <c r="L81" s="10"/>
    </row>
    <row r="82" spans="1:12" x14ac:dyDescent="0.3">
      <c r="B82" s="436"/>
      <c r="D82" s="434"/>
      <c r="L82" s="10"/>
    </row>
    <row r="83" spans="1:12" x14ac:dyDescent="0.3">
      <c r="A83" s="60"/>
      <c r="B83" s="60"/>
      <c r="C83" s="60"/>
      <c r="D83" s="435"/>
      <c r="E83" s="60"/>
      <c r="F83" s="60"/>
      <c r="G83" s="60"/>
      <c r="H83" s="60"/>
      <c r="I83" s="60"/>
      <c r="J83" s="60"/>
      <c r="K83" s="60"/>
      <c r="L83" s="61"/>
    </row>
  </sheetData>
  <mergeCells count="10">
    <mergeCell ref="D37:D44"/>
    <mergeCell ref="B37:C45"/>
    <mergeCell ref="D48:D54"/>
    <mergeCell ref="B48:C54"/>
    <mergeCell ref="D69:D74"/>
    <mergeCell ref="D78:D83"/>
    <mergeCell ref="B78:B82"/>
    <mergeCell ref="D58:D65"/>
    <mergeCell ref="B57:C65"/>
    <mergeCell ref="B68:C7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26731-836A-4DCE-AB2D-FA47BD75730F}">
  <dimension ref="A2:A50"/>
  <sheetViews>
    <sheetView showGridLines="0" topLeftCell="A25" zoomScale="90" zoomScaleNormal="90" workbookViewId="0">
      <selection activeCell="F66" sqref="F66"/>
    </sheetView>
  </sheetViews>
  <sheetFormatPr defaultColWidth="8.5546875" defaultRowHeight="14.4" x14ac:dyDescent="0.3"/>
  <cols>
    <col min="2" max="2" width="16.77734375" customWidth="1"/>
    <col min="3" max="3" width="25.77734375" customWidth="1"/>
  </cols>
  <sheetData>
    <row r="2" spans="1:1" x14ac:dyDescent="0.3">
      <c r="A2" s="62"/>
    </row>
    <row r="3" spans="1:1" x14ac:dyDescent="0.3">
      <c r="A3" s="62"/>
    </row>
    <row r="4" spans="1:1" x14ac:dyDescent="0.3">
      <c r="A4" s="62"/>
    </row>
    <row r="5" spans="1:1" x14ac:dyDescent="0.3">
      <c r="A5" s="62"/>
    </row>
    <row r="50" ht="36.75" customHeight="1" x14ac:dyDescent="0.3"/>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hematic_x0020_Focus xmlns="08b758c0-7f65-4904-9e43-345858c3c71c" xsi:nil="true"/>
    <_Flow_SignoffStatus xmlns="24dc8c7b-7b5d-4d41-8221-f7960f2ae5bd" xsi:nil="true"/>
    <TaxCatchAll xmlns="08b758c0-7f65-4904-9e43-345858c3c71c" xsi:nil="true"/>
    <lcf76f155ced4ddcb4097134ff3c332f xmlns="24dc8c7b-7b5d-4d41-8221-f7960f2ae5bd">
      <Terms xmlns="http://schemas.microsoft.com/office/infopath/2007/PartnerControls"/>
    </lcf76f155ced4ddcb4097134ff3c332f>
    <PII xmlns="24dc8c7b-7b5d-4d41-8221-f7960f2ae5bd">false</PII>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61670E027929440931DC4FF061F9A46" ma:contentTypeVersion="29" ma:contentTypeDescription="Ein neues Dokument erstellen." ma:contentTypeScope="" ma:versionID="0d88bc9cedf1ee999d8bb34fd8e7544b">
  <xsd:schema xmlns:xsd="http://www.w3.org/2001/XMLSchema" xmlns:xs="http://www.w3.org/2001/XMLSchema" xmlns:p="http://schemas.microsoft.com/office/2006/metadata/properties" xmlns:ns2="08b758c0-7f65-4904-9e43-345858c3c71c" xmlns:ns3="24dc8c7b-7b5d-4d41-8221-f7960f2ae5bd" targetNamespace="http://schemas.microsoft.com/office/2006/metadata/properties" ma:root="true" ma:fieldsID="980143298319afb703e608dd5fb72d34" ns2:_="" ns3:_="">
    <xsd:import namespace="08b758c0-7f65-4904-9e43-345858c3c71c"/>
    <xsd:import namespace="24dc8c7b-7b5d-4d41-8221-f7960f2ae5bd"/>
    <xsd:element name="properties">
      <xsd:complexType>
        <xsd:sequence>
          <xsd:element name="documentManagement">
            <xsd:complexType>
              <xsd:all>
                <xsd:element ref="ns2:Thematic_x0020_Focu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2:SharedWithUsers" minOccurs="0"/>
                <xsd:element ref="ns2:SharedWithDetails" minOccurs="0"/>
                <xsd:element ref="ns3:MediaServiceDateTaken" minOccurs="0"/>
                <xsd:element ref="ns3:MediaServiceLocation" minOccurs="0"/>
                <xsd:element ref="ns3:_Flow_SignoffStatus" minOccurs="0"/>
                <xsd:element ref="ns3:MediaLengthInSeconds" minOccurs="0"/>
                <xsd:element ref="ns2:TaxCatchAll" minOccurs="0"/>
                <xsd:element ref="ns3:lcf76f155ced4ddcb4097134ff3c332f" minOccurs="0"/>
                <xsd:element ref="ns3:PII"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758c0-7f65-4904-9e43-345858c3c71c" elementFormDefault="qualified">
    <xsd:import namespace="http://schemas.microsoft.com/office/2006/documentManagement/types"/>
    <xsd:import namespace="http://schemas.microsoft.com/office/infopath/2007/PartnerControls"/>
    <xsd:element name="Thematic_x0020_Focus" ma:index="2" nillable="true" ma:displayName="Thematic Focus" ma:list="{b8d47e44-77bd-498c-a02c-fb6e3f62fb35}" ma:internalName="Thematic_x0020_Focus" ma:showField="Title" ma:web="08b758c0-7f65-4904-9e43-345858c3c71c">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0fdbe3cc-6b80-43ad-a978-0da023464680}" ma:internalName="TaxCatchAll" ma:showField="CatchAllData" ma:web="08b758c0-7f65-4904-9e43-345858c3c7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dc8c7b-7b5d-4d41-8221-f7960f2ae5bd"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Tags" ma:index="8" nillable="true" ma:displayName="Tags" ma:description="" ma:indexed="true" ma:internalName="MediaServiceAutoTags" ma:readOnly="true">
      <xsd:simpleType>
        <xsd:restriction base="dms:Text"/>
      </xsd:simple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Flow_SignoffStatus" ma:index="21" nillable="true" ma:displayName="Status Unterschrift" ma:internalName="Status_x0020_Unterschrift">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9b1bd33c-51cd-473d-b064-0ba0784f6672" ma:termSetId="09814cd3-568e-fe90-9814-8d621ff8fb84" ma:anchorId="fba54fb3-c3e1-fe81-a776-ca4b69148c4d" ma:open="true" ma:isKeyword="false">
      <xsd:complexType>
        <xsd:sequence>
          <xsd:element ref="pc:Terms" minOccurs="0" maxOccurs="1"/>
        </xsd:sequence>
      </xsd:complexType>
    </xsd:element>
    <xsd:element name="PII" ma:index="26" nillable="true" ma:displayName="PII" ma:default="0" ma:format="Dropdown" ma:indexed="true" ma:internalName="PI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3CA661-FF88-4791-85B2-F80EA589301D}">
  <ds:schemaRefs>
    <ds:schemaRef ds:uri="http://schemas.microsoft.com/office/2006/metadata/properties"/>
    <ds:schemaRef ds:uri="http://schemas.microsoft.com/office/infopath/2007/PartnerControls"/>
    <ds:schemaRef ds:uri="08b758c0-7f65-4904-9e43-345858c3c71c"/>
    <ds:schemaRef ds:uri="24dc8c7b-7b5d-4d41-8221-f7960f2ae5bd"/>
  </ds:schemaRefs>
</ds:datastoreItem>
</file>

<file path=customXml/itemProps2.xml><?xml version="1.0" encoding="utf-8"?>
<ds:datastoreItem xmlns:ds="http://schemas.openxmlformats.org/officeDocument/2006/customXml" ds:itemID="{A06ACADF-EB5A-41F5-81C7-20D79BD3B9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758c0-7f65-4904-9e43-345858c3c71c"/>
    <ds:schemaRef ds:uri="24dc8c7b-7b5d-4d41-8221-f7960f2ae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7C3E72-E6CB-413E-81E7-23613E47D5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vt:lpstr>
      <vt:lpstr>ToC</vt:lpstr>
      <vt:lpstr>Model input</vt:lpstr>
      <vt:lpstr>SROI</vt:lpstr>
      <vt:lpstr>Sensitivity analysis</vt:lpstr>
      <vt:lpstr>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Herz, Paul</dc:creator>
  <cp:keywords/>
  <dc:description/>
  <cp:lastModifiedBy>Wiegel, Sarah</cp:lastModifiedBy>
  <cp:revision/>
  <dcterms:created xsi:type="dcterms:W3CDTF">2021-10-12T15:11:17Z</dcterms:created>
  <dcterms:modified xsi:type="dcterms:W3CDTF">2026-08-25T13:07:54Z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0x010100861670E027929440931DC4FF061F9A46</vt:lpwstr>
  </property>
  <property fmtid="{D5CDD505-2E9C-101B-9397-08002B2CF9AE}" pid="3" name="MediaServiceImageTags">
    <vt:lpwstr/>
  </property>
</Properties>
</file>