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herewegrow.sharepoint.com/sites/herewegrow.org/Freigegebene Dokumente/01 Projekte/01 Laufend/D_VEN01/05 MEL/01 SROI/"/>
    </mc:Choice>
  </mc:AlternateContent>
  <xr:revisionPtr revIDLastSave="905" documentId="13_ncr:1_{ECC6B1EE-2B1B-1C46-984F-AA3EB87CB168}" xr6:coauthVersionLast="47" xr6:coauthVersionMax="47" xr10:uidLastSave="{F2CD769F-AE16-492C-99F1-3F4276F91A22}"/>
  <bookViews>
    <workbookView xWindow="28680" yWindow="-120" windowWidth="29040" windowHeight="17520" activeTab="1" xr2:uid="{D727DE2A-A20A-4F61-A634-FF4E86980CF5}"/>
  </bookViews>
  <sheets>
    <sheet name="Summary" sheetId="7" r:id="rId1"/>
    <sheet name="ToC" sheetId="9" r:id="rId2"/>
    <sheet name="Model input" sheetId="5" r:id="rId3"/>
    <sheet name="SROI" sheetId="2" r:id="rId4"/>
    <sheet name="Info" sheetId="8" r:id="rId5"/>
  </sheets>
  <definedNames>
    <definedName name="_xlnm._FilterDatabase" localSheetId="3" hidden="1">SROI!$O$58:$O$58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2" l="1"/>
  <c r="F47" i="2"/>
  <c r="G47" i="2"/>
  <c r="H47" i="2"/>
  <c r="I47" i="2"/>
  <c r="I48" i="2" s="1"/>
  <c r="J47" i="2"/>
  <c r="J48" i="2" s="1"/>
  <c r="K47" i="2"/>
  <c r="K48" i="2" s="1"/>
  <c r="L47" i="2"/>
  <c r="L48" i="2" s="1"/>
  <c r="M47" i="2"/>
  <c r="M48" i="2" s="1"/>
  <c r="E59" i="2" l="1"/>
  <c r="C59" i="2"/>
  <c r="D59" i="2"/>
  <c r="G48" i="2" l="1"/>
  <c r="H48" i="2"/>
  <c r="C12" i="2" l="1"/>
  <c r="D5" i="2"/>
  <c r="D46" i="2" s="1"/>
  <c r="D47" i="2" s="1"/>
  <c r="M29" i="2"/>
  <c r="F48" i="2"/>
  <c r="I42" i="2" l="1"/>
  <c r="K42" i="2"/>
  <c r="L42" i="2"/>
  <c r="M42" i="2"/>
  <c r="J42" i="2"/>
  <c r="H42" i="2"/>
  <c r="G42" i="2"/>
  <c r="D42" i="2"/>
  <c r="D43" i="2" s="1"/>
  <c r="E42" i="2"/>
  <c r="E43" i="2" s="1"/>
  <c r="D7" i="2"/>
  <c r="L43" i="2" l="1"/>
  <c r="L44" i="2" s="1"/>
  <c r="L45" i="2" s="1"/>
  <c r="L49" i="2" s="1"/>
  <c r="G43" i="2"/>
  <c r="G44" i="2" s="1"/>
  <c r="G45" i="2" s="1"/>
  <c r="G49" i="2" s="1"/>
  <c r="H43" i="2"/>
  <c r="H44" i="2" s="1"/>
  <c r="H45" i="2" s="1"/>
  <c r="H49" i="2" s="1"/>
  <c r="J43" i="2"/>
  <c r="J44" i="2" s="1"/>
  <c r="J45" i="2" s="1"/>
  <c r="J49" i="2" s="1"/>
  <c r="M43" i="2"/>
  <c r="M44" i="2" s="1"/>
  <c r="M45" i="2" s="1"/>
  <c r="M49" i="2" s="1"/>
  <c r="K43" i="2"/>
  <c r="K44" i="2" s="1"/>
  <c r="K45" i="2" s="1"/>
  <c r="K49" i="2" s="1"/>
  <c r="I43" i="2"/>
  <c r="I44" i="2" s="1"/>
  <c r="I45" i="2" s="1"/>
  <c r="I49" i="2" s="1"/>
  <c r="E60" i="2"/>
  <c r="E61" i="2" s="1"/>
  <c r="E62" i="2" s="1"/>
  <c r="F59" i="2"/>
  <c r="F60" i="2" s="1"/>
  <c r="F61" i="2" s="1"/>
  <c r="C60" i="2"/>
  <c r="C61" i="2" s="1"/>
  <c r="C62" i="2" s="1"/>
  <c r="D44" i="2" l="1"/>
  <c r="D45" i="2" s="1"/>
  <c r="D48" i="2" s="1"/>
  <c r="D60" i="2"/>
  <c r="D61" i="2" s="1"/>
  <c r="D62" i="2" s="1"/>
  <c r="E44" i="2"/>
  <c r="F42" i="2"/>
  <c r="F43" i="2" s="1"/>
  <c r="D30" i="2"/>
  <c r="C20" i="2"/>
  <c r="C21" i="2"/>
  <c r="C22" i="2"/>
  <c r="C23" i="2"/>
  <c r="C19" i="2"/>
  <c r="F29" i="2"/>
  <c r="G30" i="2" s="1"/>
  <c r="H31" i="2" s="1"/>
  <c r="I32" i="2" s="1"/>
  <c r="J33" i="2" s="1"/>
  <c r="K34" i="2" s="1"/>
  <c r="L35" i="2" s="1"/>
  <c r="M36" i="2" s="1"/>
  <c r="F32" i="2"/>
  <c r="E32" i="2"/>
  <c r="D32" i="2"/>
  <c r="C32" i="2"/>
  <c r="E31" i="2"/>
  <c r="K29" i="2"/>
  <c r="L30" i="2" s="1"/>
  <c r="M31" i="2" s="1"/>
  <c r="L29" i="2"/>
  <c r="M30" i="2" s="1"/>
  <c r="J29" i="2"/>
  <c r="K30" i="2" s="1"/>
  <c r="L31" i="2" s="1"/>
  <c r="M32" i="2" s="1"/>
  <c r="I29" i="2"/>
  <c r="J30" i="2" s="1"/>
  <c r="K31" i="2" s="1"/>
  <c r="L32" i="2" s="1"/>
  <c r="M33" i="2" s="1"/>
  <c r="H29" i="2"/>
  <c r="I30" i="2" s="1"/>
  <c r="J31" i="2" s="1"/>
  <c r="K32" i="2" s="1"/>
  <c r="L33" i="2" s="1"/>
  <c r="M34" i="2" s="1"/>
  <c r="G29" i="2"/>
  <c r="H30" i="2" s="1"/>
  <c r="I31" i="2" s="1"/>
  <c r="J32" i="2" s="1"/>
  <c r="K33" i="2" s="1"/>
  <c r="L34" i="2" s="1"/>
  <c r="M35" i="2" s="1"/>
  <c r="D24" i="2"/>
  <c r="D31" i="2" s="1"/>
  <c r="C28" i="2" l="1"/>
  <c r="F44" i="2"/>
  <c r="C73" i="2"/>
  <c r="D28" i="2"/>
  <c r="D49" i="2" l="1"/>
  <c r="C54" i="2" s="1"/>
  <c r="D29" i="2"/>
  <c r="E29" i="2"/>
  <c r="E30" i="2" l="1"/>
  <c r="F30" i="2"/>
  <c r="F31" i="2" l="1"/>
  <c r="G32" i="2" s="1"/>
  <c r="H33" i="2" s="1"/>
  <c r="I34" i="2" s="1"/>
  <c r="J35" i="2" s="1"/>
  <c r="K36" i="2" s="1"/>
  <c r="L37" i="2" s="1"/>
  <c r="G31" i="2"/>
  <c r="H32" i="2" l="1"/>
  <c r="F62" i="2" l="1"/>
  <c r="I33" i="2"/>
  <c r="C64" i="2" l="1"/>
  <c r="C65" i="2" s="1"/>
  <c r="J34" i="2"/>
  <c r="G50" i="7" l="1"/>
  <c r="K35" i="2"/>
  <c r="F45" i="2"/>
  <c r="F49" i="2" s="1"/>
  <c r="L36" i="2" l="1"/>
  <c r="M37" i="2" s="1"/>
  <c r="F54" i="2"/>
  <c r="M54" i="2" l="1"/>
  <c r="H54" i="2"/>
  <c r="K54" i="2"/>
  <c r="G54" i="2"/>
  <c r="L54" i="2"/>
  <c r="J54" i="2"/>
  <c r="I54" i="2"/>
  <c r="E45" i="2"/>
  <c r="E49" i="2" s="1"/>
  <c r="D54" i="2" s="1"/>
  <c r="C13" i="7"/>
  <c r="E54" i="2" l="1"/>
  <c r="C50" i="7"/>
  <c r="C69" i="2" l="1"/>
  <c r="C70" i="2" s="1"/>
  <c r="G51" i="7" s="1"/>
  <c r="G49" i="7" l="1"/>
  <c r="C77" i="2"/>
  <c r="C71" i="2"/>
  <c r="C72" i="2" s="1"/>
  <c r="C51" i="7" s="1"/>
  <c r="F109" i="2" l="1"/>
  <c r="C20" i="7"/>
  <c r="C49" i="7"/>
  <c r="F84" i="2"/>
  <c r="F9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tc={2208349B-DCDF-4086-A757-D590633A80F2}</author>
    <author>tc={E8BE9177-AEE6-4FEF-823A-3099F3C35689}</author>
    <author>tc={A3EF8E58-F222-458F-A509-03EE9A1AB850}</author>
  </authors>
  <commentList>
    <comment ref="B20" authorId="0" shapeId="0" xr:uid="{2208349B-DCDF-4086-A757-D590633A80F2}">
      <text>
        <t>[Threaded comment]
Your version of Excel allows you to read this threaded comment; however, any edits to it will get removed if the file is opened in a newer version of Excel. Learn more: https://go.microsoft.com/fwlink/?linkid=870924
Comment:
    Calculated at a 10% discount rate, with 8.100 HH reached, the budget being required to replicate implementation (excluding 14% indirect costs), 7% expected income increase, not considering assets and a baseline HH income of 135.525 ETB.</t>
      </text>
    </comment>
    <comment ref="B27" authorId="1" shapeId="0" xr:uid="{E8BE9177-AEE6-4FEF-823A-3099F3C35689}">
      <text>
        <t>[Threaded comment]
Your version of Excel allows you to read this threaded comment; however, any edits to it will get removed if the file is opened in a newer version of Excel. Learn more: https://go.microsoft.com/fwlink/?linkid=870924
Comment:
    Assets not conisdered;  Expected income increase (proxied by consumption expenditure in Year 2) = 7%; Baseline Income 100.000 ETB</t>
      </text>
    </comment>
    <comment ref="B28" authorId="2" shapeId="0" xr:uid="{A3EF8E58-F222-458F-A509-03EE9A1AB850}">
      <text>
        <t>[Threaded comment]
Your version of Excel allows you to read this threaded comment; however, any edits to it will get removed if the file is opened in a newer version of Excel. Learn more: https://go.microsoft.com/fwlink/?linkid=870924
Comment:
    135.000 ETB Baseline Income; 41$ asset increase; 17% expected income increase (proxied by consumption expenditure in Year 2)</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tc={74E0CAB8-ADCB-4351-AACC-39CB456EC69E}</author>
    <author>tc={3D68DBEE-0070-4995-A874-5A4F2C567107}</author>
    <author>tc={B522C1A3-6BD8-49FB-ADA4-5EAAE3C890CB}</author>
    <author>tc={23FEF1C5-264E-4F0C-B691-C05C20CC8FAF}</author>
  </authors>
  <commentList>
    <comment ref="C11" authorId="0" shapeId="0" xr:uid="{74E0CAB8-ADCB-4351-AACC-39CB456EC69E}">
      <text>
        <t>[Threaded comment]
Your version of Excel allows you to read this threaded comment; however, any edits to it will get removed if the file is opened in a newer version of Excel. Learn more: https://go.microsoft.com/fwlink/?linkid=870924
Comment:
    Baseline consumption estimate sourced from Digital Green project (2023), collected across 4 Woredas in Jimma Zone and deflated to real 2021 values. Applied as a proxy for this project's 3 Woredas in Keffa Zone. Note that Keffa differs from Jimma in agroecological profile and livelihood mix, which introduces additional uncertainty into this estimate. VE will collect consumption data from the learning cohort through their internal monitoring system. The RCT will include a consumption measure at endline 1 and endline 2.</t>
      </text>
    </comment>
    <comment ref="C59" authorId="1" shapeId="0" xr:uid="{3D68DBEE-0070-4995-A874-5A4F2C567107}">
      <text>
        <t xml:space="preserve">[Threaded comment]
Your version of Excel allows you to read this threaded comment; however, any edits to it will get removed if the file is opened in a newer version of Excel. Learn more: https://go.microsoft.com/fwlink/?linkid=870924
Comment:
    Includess 197.620,00 € Cofunding
Reply:
    Excludes 2.412€ Budget for Head of Research as this costs are irrrespective of implementation
</t>
      </text>
    </comment>
    <comment ref="B78" authorId="2" shapeId="0" xr:uid="{B522C1A3-6BD8-49FB-ADA4-5EAAE3C890CB}">
      <text>
        <t>[Threaded comment]
Your version of Excel allows you to read this threaded comment; however, any edits to it will get removed if the file is opened in a newer version of Excel. Learn more: https://go.microsoft.com/fwlink/?linkid=870924
Comment:
     5 year horizon; 5% Discount Rate; including assets; non-implementation cost share 0%</t>
      </text>
    </comment>
    <comment ref="F90" authorId="3" shapeId="0" xr:uid="{23FEF1C5-264E-4F0C-B691-C05C20CC8FAF}">
      <text>
        <t>[Threaded comment]
Your version of Excel allows you to read this threaded comment; however, any edits to it will get removed if the file is opened in a newer version of Excel. Learn more: https://go.microsoft.com/fwlink/?linkid=870924
Comment:
    The VEN01 Budget includes 14% indirect costs</t>
      </text>
    </comment>
  </commentList>
</comments>
</file>

<file path=xl/sharedStrings.xml><?xml version="1.0" encoding="utf-8"?>
<sst xmlns="http://schemas.openxmlformats.org/spreadsheetml/2006/main" count="172" uniqueCount="158">
  <si>
    <t>HWG Impact Model:</t>
  </si>
  <si>
    <t>Village Enterprise - HARVEST</t>
  </si>
  <si>
    <t>Overview</t>
  </si>
  <si>
    <t>Project name</t>
  </si>
  <si>
    <t>Village Enterprise's Poverty Graduation Approach in Coffee Farming in Ethiopia</t>
  </si>
  <si>
    <t>Implementing partner</t>
  </si>
  <si>
    <t>Village Enterprise</t>
  </si>
  <si>
    <t>Evaluation partner</t>
  </si>
  <si>
    <t>IPA; PIRC</t>
  </si>
  <si>
    <t>Project country</t>
  </si>
  <si>
    <t>Ethiopia</t>
  </si>
  <si>
    <t>Project region</t>
  </si>
  <si>
    <t>Kaffa</t>
  </si>
  <si>
    <t>Project duration</t>
  </si>
  <si>
    <t>11/2025 - 03/2029</t>
  </si>
  <si>
    <t>Objective</t>
  </si>
  <si>
    <t>Integrates business training, seed capital grants, business mentoring, and business savings groups, fostering sustainable micro-enterprise development, income diversification and resilience-building among individuals living in coffee-producing areas.</t>
  </si>
  <si>
    <t>Budget (2025 nominal EUR)</t>
  </si>
  <si>
    <t>Outreach</t>
  </si>
  <si>
    <t>Households</t>
  </si>
  <si>
    <t>Date of Analysis / Version</t>
  </si>
  <si>
    <t>Author</t>
  </si>
  <si>
    <t>Marlene Gutiérrez</t>
  </si>
  <si>
    <t>SROI</t>
  </si>
  <si>
    <r>
      <t xml:space="preserve">Total SROI
</t>
    </r>
    <r>
      <rPr>
        <sz val="10"/>
        <color theme="1"/>
        <rFont val="Pero ExtraBold"/>
        <family val="2"/>
      </rPr>
      <t>(10 year time frame)</t>
    </r>
  </si>
  <si>
    <t>Type</t>
  </si>
  <si>
    <t>Forecast</t>
  </si>
  <si>
    <t>Level of certainty*</t>
  </si>
  <si>
    <t>Medium</t>
  </si>
  <si>
    <t>Data Source of Impact Estimates</t>
  </si>
  <si>
    <t>Development Impact Bond Evaluation - 2021</t>
  </si>
  <si>
    <t>SROI thresholds</t>
  </si>
  <si>
    <r>
      <t>Sensitivity Analysis</t>
    </r>
    <r>
      <rPr>
        <sz val="10"/>
        <color theme="1"/>
        <rFont val="Pero ExtraBold"/>
        <family val="2"/>
      </rPr>
      <t xml:space="preserve"> 
(most influential parameter set)</t>
    </r>
  </si>
  <si>
    <t>Conservative SROI</t>
  </si>
  <si>
    <t>Optimistic SROI</t>
  </si>
  <si>
    <t>Details of HWG Evaluation (HARVEST Project)</t>
  </si>
  <si>
    <t>Evaluation methodology</t>
  </si>
  <si>
    <t>Cluster randomized controlled trial, Saturation design</t>
  </si>
  <si>
    <t>Primary outcome</t>
  </si>
  <si>
    <t>Increase in income proxied by consumption expenditure</t>
  </si>
  <si>
    <t>Income measurement</t>
  </si>
  <si>
    <t>Measured via consumption module</t>
  </si>
  <si>
    <t>Sample size per cohort</t>
  </si>
  <si>
    <t>3360 (1600 per cohort plus 160 attrition)</t>
  </si>
  <si>
    <t>Study population</t>
  </si>
  <si>
    <t>Households residing in project Villages</t>
  </si>
  <si>
    <t>Methodological rigor*</t>
  </si>
  <si>
    <t>Excellent</t>
  </si>
  <si>
    <t xml:space="preserve">Findings on other outcomes </t>
  </si>
  <si>
    <t>TBD</t>
  </si>
  <si>
    <t>Other outcomes will include 
1. Assets 
2. Reinvestment of additional income in the coffee production activities
3. Households well-being and agency
3. Spillover effects on non-participating households in project Villages</t>
  </si>
  <si>
    <t>Present Value vs Costs</t>
  </si>
  <si>
    <t>PV per HH</t>
  </si>
  <si>
    <t>Present Value (in 2021 EUR)</t>
  </si>
  <si>
    <t>Costs per HH</t>
  </si>
  <si>
    <t>Project Costs discounted (in 2021 EUR)</t>
  </si>
  <si>
    <t>NPV per HH</t>
  </si>
  <si>
    <t>Net Present Value (in 2021 EUR)</t>
  </si>
  <si>
    <t>* Definitions see tab "Info"</t>
  </si>
  <si>
    <t>1) Critical model assumptions and household/ farm characteristics</t>
  </si>
  <si>
    <t>Discount rate*</t>
  </si>
  <si>
    <t>I</t>
  </si>
  <si>
    <t>Assets considered</t>
  </si>
  <si>
    <t>No</t>
  </si>
  <si>
    <t>Income Effects</t>
  </si>
  <si>
    <t>Assumption</t>
  </si>
  <si>
    <t>Value</t>
  </si>
  <si>
    <t>Source</t>
  </si>
  <si>
    <t>Link</t>
  </si>
  <si>
    <t>Notes</t>
  </si>
  <si>
    <t>Annual HH consumption in nominal 2023 ETB</t>
  </si>
  <si>
    <t>Baseline p. 55 (only average)</t>
  </si>
  <si>
    <t>Digital Green IICoF Baseline Report</t>
  </si>
  <si>
    <t>74,26*365*5 (Median Daily Per Capita Consumption Jimma Coffee Farmers = 74,26 ETB ; Averg. HH size =5; Calculated from DG Baseline Dataset Jimma_Coff_consumption_aggregate.dta; Baseline consumption estimate sourced from Digital Green project (2023), collected across 4 Woredas in Jimma Zone and deflated to real 2021 values. Applied as a proxy for this project's Woredas in Keffa Zone. Note that Keffa differs from Jimma in agroecological profile and livelihood mix, which introduces additional uncertainty into this estimate. This estimate will be updated once project-specific consumption data from the region becomes available.</t>
  </si>
  <si>
    <t xml:space="preserve"> </t>
  </si>
  <si>
    <t>Annual HH consumption in real 2026 ETB</t>
  </si>
  <si>
    <t>Expected income increase (proxied by consumption expenditure in Year 2)</t>
  </si>
  <si>
    <t>VE assumption (conservative)</t>
  </si>
  <si>
    <t>Conservative estimate based on DIB Endline Evaluation in Uganda and Kenya published in 2021 which found an average monthly consumption increase of 6.3% overall and 3,5% in Uganda and 7.3% in Keyna</t>
  </si>
  <si>
    <t>Expected additional net asset value per HH (in 2021 USD)</t>
  </si>
  <si>
    <t>Conservative estimate based on DIB findings that households in the treatment group had USD 40.5 (or 5.8%) more in net assets than those in the control group. Similar to  consumption, the program effect for households in Kenya (60.9 USD or 8.5%) was larger than the effect for households in Uganda (15.6 USD or 2.3%).</t>
  </si>
  <si>
    <t>Year</t>
  </si>
  <si>
    <t>Annual increase in consumption expenditure</t>
  </si>
  <si>
    <t>Additional income per HH (in real 2026 ETB)</t>
  </si>
  <si>
    <t>Additional income per HH, discounted (in real 2026 ETB)</t>
  </si>
  <si>
    <t>Additional income per HH, discounted (in real 2021 ETB)</t>
  </si>
  <si>
    <t>Additional income per HH, discounted (in real 2021 EUR)</t>
  </si>
  <si>
    <t>Net asset value increase</t>
  </si>
  <si>
    <t>Additional net asset value per HH (in 2021 USD)</t>
  </si>
  <si>
    <t>Additional net asset value per HH, discounted (in 2021 USD)</t>
  </si>
  <si>
    <t>Additional net asset value per HH (in real 2021 EUR)</t>
  </si>
  <si>
    <t>Cycle</t>
  </si>
  <si>
    <t>Planned</t>
  </si>
  <si>
    <t>Actual</t>
  </si>
  <si>
    <t>Cohort 1 2026</t>
  </si>
  <si>
    <t>Cohort 2 2026</t>
  </si>
  <si>
    <t>Cohort 3 2027</t>
  </si>
  <si>
    <t>Cohort 4 2027</t>
  </si>
  <si>
    <t>Cohort 5 2027</t>
  </si>
  <si>
    <t>Total</t>
  </si>
  <si>
    <t>Number of years since participation</t>
  </si>
  <si>
    <t>Project Lifetime</t>
  </si>
  <si>
    <t>Beyond Project Lifetime</t>
  </si>
  <si>
    <t>4) Incremental cash-flow total project discounted</t>
  </si>
  <si>
    <t>Incremental Cash-flow, discounted (in real 2024 EUR)</t>
  </si>
  <si>
    <t xml:space="preserve">5) Project Costs </t>
  </si>
  <si>
    <t>Project Costs (in nominal EUR)</t>
  </si>
  <si>
    <t>Project Costs (in real 2026 EUR)</t>
  </si>
  <si>
    <t>Project costs discounted (in 2021 EUR)</t>
  </si>
  <si>
    <t>Costs per HH discounted (in 2021 EUR)</t>
  </si>
  <si>
    <t>6) Present Value (in 2021 EUR)</t>
  </si>
  <si>
    <t xml:space="preserve">Present Value (in real 2021 EUR) </t>
  </si>
  <si>
    <t xml:space="preserve">Total Project Net Present Value (in real 2021 EUR) </t>
  </si>
  <si>
    <t xml:space="preserve">Present Value per HH  (in real 2021 EUR) </t>
  </si>
  <si>
    <t xml:space="preserve">Net Present Value per HH (in real 2021 EUR) </t>
  </si>
  <si>
    <t>Relative increase in HH income</t>
  </si>
  <si>
    <t>7) Project SROI</t>
  </si>
  <si>
    <t xml:space="preserve">Social Return on Investment (SROI) </t>
  </si>
  <si>
    <t>SROI = Total Benefits/ Project Costs</t>
  </si>
  <si>
    <t>8) Sensitivity Analysis</t>
  </si>
  <si>
    <t>Discount rate</t>
  </si>
  <si>
    <t>Non-implementation cost share</t>
  </si>
  <si>
    <t>Annual HH consumption in nominal 2023 ETB (Baseline Income)</t>
  </si>
  <si>
    <t>Income effect</t>
  </si>
  <si>
    <t>1) Details of the Analysis</t>
  </si>
  <si>
    <t>Impact Measure*</t>
  </si>
  <si>
    <t>Household consumption expenditure</t>
  </si>
  <si>
    <t>Cell shading indicates data confidence</t>
  </si>
  <si>
    <t>Base year</t>
  </si>
  <si>
    <t>Substantiated — supported by credible empirical source</t>
  </si>
  <si>
    <t>Year of Analysis</t>
  </si>
  <si>
    <t>Uncertain — based on limited data, proxy, or forecast assumption</t>
  </si>
  <si>
    <t>Year of Analysis Currency</t>
  </si>
  <si>
    <t>2021 EUR</t>
  </si>
  <si>
    <t>2) Assumptions Used in the Analysis</t>
  </si>
  <si>
    <t>3) External parameters used in the analysis</t>
  </si>
  <si>
    <t>Inflation Rates*</t>
  </si>
  <si>
    <t>Ethiopia (GDP deflator; base year=2015/2016)</t>
  </si>
  <si>
    <t>Germany (GDP deflator; base year=2015/2016)</t>
  </si>
  <si>
    <t>USA (GDP deflator; base year=2015/2016)</t>
  </si>
  <si>
    <t xml:space="preserve">Source: IMF GDP deflator </t>
  </si>
  <si>
    <t>Exchange rates</t>
  </si>
  <si>
    <t>Ex ETB_EUR</t>
  </si>
  <si>
    <t>Ex USD_EUR</t>
  </si>
  <si>
    <t>Source: exchange-rate.org (2021 Average)</t>
  </si>
  <si>
    <t>1) HARVEST Theory of Change</t>
  </si>
  <si>
    <t>2) Village Enterprise core approach Theory of Change</t>
  </si>
  <si>
    <t>3) HereWeGrow Impact Map</t>
  </si>
  <si>
    <t>DREAMS Ethiopia Endline Report 1</t>
  </si>
  <si>
    <t>Project Cost, discounted (in real 2026 EUR)</t>
  </si>
  <si>
    <t>Project Cost, discounted (in real 2021 EUR)</t>
  </si>
  <si>
    <t>Baseline Income; Expected additional net asset value per HH (in 2021 USD) + Income effect</t>
  </si>
  <si>
    <t>Village Enterprise SROI</t>
  </si>
  <si>
    <t>June 2026</t>
  </si>
  <si>
    <r>
      <t xml:space="preserve">
The sensitivity analysis examines how varying assumptions on outreach, costs, and baseline income levels affect the SROI. The base case yields an SROI of  2.5 calculated at a 10% discount rate, with 8.100 HH reached, the full budget being required to replicate implementation, and a baseline HH income of 135.525 ETB.
</t>
    </r>
    <r>
      <rPr>
        <b/>
        <sz val="12"/>
        <color theme="1"/>
        <rFont val="Pero"/>
        <family val="2"/>
      </rPr>
      <t xml:space="preserve">Non-Implementation Cost Share: </t>
    </r>
    <r>
      <rPr>
        <sz val="12"/>
        <color theme="1"/>
        <rFont val="Pero"/>
        <family val="2"/>
      </rPr>
      <t>The base case assumes a non-implementation cost share of 14%, meaning that not the full budget is treated as the cost base but that overhad management costs are excluded. The official project budget includes a 14% indirect cost rate. Excluding these costs from the SROI denominator — on the grounds that they represent organizational overhead independent of this project — increase the SROI by approximately 0.3 compared to including the costs.</t>
    </r>
    <r>
      <rPr>
        <b/>
        <sz val="12"/>
        <color theme="1"/>
        <rFont val="Pero"/>
        <family val="2"/>
      </rPr>
      <t xml:space="preserve">
Baseline Income and Income Effect: </t>
    </r>
    <r>
      <rPr>
        <sz val="12"/>
        <color theme="1"/>
        <rFont val="Pero"/>
        <family val="2"/>
      </rPr>
      <t xml:space="preserve">The assumed baseline HH income and the applied income effect together have the strongest influence on the SROI. The base case applies a conservative income effect of 7%, in line with the Minimum Detectable Effect of the HARVEST project evaluation. More recent impact evaluations of comparable Village Enterprise interventions have found income increases of up to 17%, which would more than double the base case SROI to 6,0. The baseline income assumption further amplifies this sensitivity: lower assumed baseline incomes increase the relative significance of a given absolute income gain and should therefore be carefully validated.
</t>
    </r>
    <r>
      <rPr>
        <b/>
        <sz val="12"/>
        <color theme="1"/>
        <rFont val="Pero"/>
        <family val="2"/>
      </rPr>
      <t xml:space="preserve">Additonal net asset value: </t>
    </r>
    <r>
      <rPr>
        <sz val="12"/>
        <color theme="1"/>
        <rFont val="Pero"/>
        <family val="2"/>
      </rPr>
      <t>The additional net asset value per HH has a limited effect on the SROI. The base case applies a conservative effect of 40,5$ at year 2. In the DIB Evaluation the asset increase was up to 60,1 in the case of Kenya which would only increase the SROI by 0,2 points. 
Overall, the sensitivity analysis confirms that the SROI is most sensitive to the income effect and baseline income assumptions, while remaining relatively robust to variations in outreach numbers and overhead cost allocation. Even under conservative assumptions, the project generates a positive return, and under more optimistic but empirically grounded scenarios the SROI increases substantially.</t>
    </r>
  </si>
  <si>
    <t>Non-implementation costs share*</t>
  </si>
  <si>
    <t>2) Number of reached HH per year</t>
  </si>
  <si>
    <t>3) Incremental Cash-flows HH level, based endline and assumptions (C23)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</si>
</sst>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0\ &quot;€&quot;;\-#,##0\ &quot;€&quot;"/>
    <numFmt numFmtId="43" formatCode="_-* #,##0.00_-;\-* #,##0.00_-;_-* &quot;-&quot;??_-;_-@_-"/>
    <numFmt numFmtId="164" formatCode="_-* #,##0_-;\-* #,##0_-;_-* &quot;-&quot;??_-;_-@_-"/>
    <numFmt numFmtId="165" formatCode="_-* #,##0.00\ [$€-407]_-;\-* #,##0.00\ [$€-407]_-;_-* &quot;-&quot;??\ [$€-407]_-;_-@_-"/>
    <numFmt numFmtId="166" formatCode="#,##0\ &quot;€&quot;"/>
    <numFmt numFmtId="167" formatCode="0.0"/>
    <numFmt numFmtId="168" formatCode="_-* #,##0\ [$€-407]_-;\-* #,##0\ [$€-407]_-;_-* &quot;-&quot;\ [$€-407]_-;_-@_-"/>
    <numFmt numFmtId="169" formatCode="_-* #,##0.0\ [$€-407]_-;\-* #,##0.0\ [$€-407]_-;_-* &quot;-&quot;?\ [$€-407]_-;_-@_-"/>
    <numFmt numFmtId="170" formatCode="0.000"/>
    <numFmt numFmtId="171" formatCode="#,##0.00\ &quot;€&quot;"/>
    <numFmt numFmtId="172" formatCode="#,##0_ ;\-#,##0\ "/>
    <numFmt numFmtId="173" formatCode="0.0%"/>
    <numFmt numFmtId="174" formatCode="#,##0\ [$ETB]"/>
    <numFmt numFmtId="175" formatCode="0.0000"/>
    <numFmt numFmtId="176" formatCode="#,##0\ _€"/>
    <numFmt numFmtId="177" formatCode="[$$-409]#,##0"/>
  </numFmts>
  <fonts count="45" x14ac:knownFonts="1">
    <font>
      <sz val="11"/>
      <color theme="1"/>
      <name val="Calibri"/>
      <family val="2"/>
      <scheme val="minor"/>
    </font>
    <font>
      <sz val="11"/>
      <color theme="1"/>
      <name val="Calibri"/>
      <family val="2"/>
      <scheme val="minor"/>
    </font>
    <font>
      <sz val="11"/>
      <color theme="1"/>
      <name val="Pero"/>
      <family val="2"/>
    </font>
    <font>
      <u/>
      <sz val="11"/>
      <color theme="10"/>
      <name val="Calibri"/>
      <family val="2"/>
      <scheme val="minor"/>
    </font>
    <font>
      <sz val="16"/>
      <color theme="1"/>
      <name val="Pero ExtraBold"/>
      <family val="2"/>
    </font>
    <font>
      <sz val="11"/>
      <name val="Pero"/>
      <family val="2"/>
    </font>
    <font>
      <b/>
      <sz val="11"/>
      <color theme="1"/>
      <name val="Pero"/>
      <family val="2"/>
    </font>
    <font>
      <b/>
      <sz val="14"/>
      <color theme="1"/>
      <name val="Calibri"/>
      <family val="2"/>
      <scheme val="minor"/>
    </font>
    <font>
      <b/>
      <sz val="12"/>
      <color theme="1"/>
      <name val="Pero ExtraBold"/>
      <family val="2"/>
    </font>
    <font>
      <b/>
      <sz val="16"/>
      <color theme="1"/>
      <name val="Pero ExtraBold"/>
      <family val="2"/>
    </font>
    <font>
      <sz val="20"/>
      <color theme="1"/>
      <name val="Pero ExtraBold"/>
      <family val="2"/>
    </font>
    <font>
      <i/>
      <sz val="11"/>
      <color theme="1"/>
      <name val="Calibri"/>
      <family val="2"/>
      <scheme val="minor"/>
    </font>
    <font>
      <sz val="11"/>
      <color rgb="FF3F3F76"/>
      <name val="Calibri"/>
      <family val="2"/>
      <scheme val="minor"/>
    </font>
    <font>
      <sz val="11"/>
      <color indexed="8"/>
      <name val="Calibri"/>
      <family val="2"/>
    </font>
    <font>
      <b/>
      <sz val="14"/>
      <color indexed="8"/>
      <name val="Pero"/>
      <family val="2"/>
    </font>
    <font>
      <sz val="10"/>
      <color indexed="8"/>
      <name val="Pero"/>
      <family val="2"/>
    </font>
    <font>
      <sz val="11"/>
      <color indexed="8"/>
      <name val="Pero"/>
      <family val="2"/>
    </font>
    <font>
      <sz val="11"/>
      <color rgb="FF3F3F76"/>
      <name val="Pero"/>
      <family val="2"/>
    </font>
    <font>
      <b/>
      <sz val="14"/>
      <color indexed="8"/>
      <name val="Calibri"/>
      <family val="2"/>
      <scheme val="minor"/>
    </font>
    <font>
      <sz val="14"/>
      <color rgb="FFFF0000"/>
      <name val="Calibri"/>
      <family val="2"/>
      <scheme val="minor"/>
    </font>
    <font>
      <b/>
      <sz val="11"/>
      <color theme="1"/>
      <name val="Calibri"/>
      <family val="2"/>
      <scheme val="minor"/>
    </font>
    <font>
      <b/>
      <sz val="11"/>
      <color indexed="8"/>
      <name val="Pero"/>
      <family val="2"/>
    </font>
    <font>
      <sz val="8"/>
      <color theme="1"/>
      <name val="Pero"/>
      <family val="2"/>
    </font>
    <font>
      <b/>
      <sz val="11"/>
      <color theme="1"/>
      <name val="Pero ExtraBold"/>
      <family val="2"/>
    </font>
    <font>
      <b/>
      <sz val="16"/>
      <color indexed="8"/>
      <name val="Pero"/>
      <family val="2"/>
    </font>
    <font>
      <b/>
      <sz val="14"/>
      <color theme="1"/>
      <name val="Pero"/>
      <family val="2"/>
    </font>
    <font>
      <b/>
      <sz val="14"/>
      <color theme="0"/>
      <name val="Pero"/>
      <family val="2"/>
    </font>
    <font>
      <sz val="10"/>
      <color rgb="FF000000"/>
      <name val="Pero"/>
      <family val="2"/>
    </font>
    <font>
      <b/>
      <sz val="14"/>
      <name val="Pero"/>
      <family val="2"/>
    </font>
    <font>
      <b/>
      <sz val="12"/>
      <color theme="1"/>
      <name val="Pero"/>
      <family val="2"/>
    </font>
    <font>
      <sz val="12"/>
      <color theme="1"/>
      <name val="Pero"/>
      <family val="2"/>
    </font>
    <font>
      <sz val="11"/>
      <color theme="0"/>
      <name val="Calibri"/>
      <family val="2"/>
      <scheme val="minor"/>
    </font>
    <font>
      <u/>
      <sz val="11"/>
      <color theme="10"/>
      <name val="Pero"/>
      <family val="2"/>
    </font>
    <font>
      <sz val="11"/>
      <color rgb="FF000000"/>
      <name val="Pero"/>
      <family val="2"/>
    </font>
    <font>
      <sz val="10"/>
      <color theme="0"/>
      <name val="Pero"/>
      <family val="2"/>
    </font>
    <font>
      <sz val="11"/>
      <color theme="1"/>
      <name val="Pero ExtraBold"/>
      <family val="2"/>
    </font>
    <font>
      <sz val="12"/>
      <color theme="1"/>
      <name val="Pero ExtraBold"/>
      <family val="2"/>
    </font>
    <font>
      <sz val="12"/>
      <color theme="1"/>
      <name val="Calibri"/>
      <family val="2"/>
      <scheme val="minor"/>
    </font>
    <font>
      <b/>
      <sz val="14"/>
      <color indexed="8"/>
      <name val="Pero ExtraBold"/>
      <family val="2"/>
    </font>
    <font>
      <sz val="14"/>
      <color indexed="8"/>
      <name val="Pero ExtraBold"/>
      <family val="2"/>
    </font>
    <font>
      <sz val="12"/>
      <name val="Pero ExtraBold"/>
      <family val="2"/>
    </font>
    <font>
      <sz val="10"/>
      <color theme="1"/>
      <name val="Pero ExtraBold"/>
      <family val="2"/>
    </font>
    <font>
      <sz val="11"/>
      <name val="Pero ExtraBold"/>
      <family val="2"/>
    </font>
    <font>
      <sz val="10"/>
      <name val="Pero"/>
      <family val="2"/>
    </font>
    <font>
      <sz val="10"/>
      <color theme="1"/>
      <name val="Pero"/>
      <family val="2"/>
    </font>
  </fonts>
  <fills count="13">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C8AFBE"/>
        <bgColor indexed="64"/>
      </patternFill>
    </fill>
    <fill>
      <patternFill patternType="solid">
        <fgColor rgb="FFFFCC99"/>
      </patternFill>
    </fill>
    <fill>
      <patternFill patternType="solid">
        <fgColor theme="0" tint="-4.9989318521683403E-2"/>
        <bgColor indexed="64"/>
      </patternFill>
    </fill>
    <fill>
      <patternFill patternType="solid">
        <fgColor theme="0"/>
        <bgColor rgb="FF000000"/>
      </patternFill>
    </fill>
    <fill>
      <patternFill patternType="solid">
        <fgColor theme="0"/>
        <bgColor indexed="64"/>
      </patternFill>
    </fill>
    <fill>
      <patternFill patternType="solid">
        <fgColor theme="0" tint="-0.14999847407452621"/>
        <bgColor indexed="64"/>
      </patternFill>
    </fill>
    <fill>
      <patternFill patternType="solid">
        <fgColor rgb="FFDCA591"/>
        <bgColor indexed="64"/>
      </patternFill>
    </fill>
    <fill>
      <patternFill patternType="solid">
        <fgColor rgb="FFCDD2B4"/>
        <bgColor indexed="64"/>
      </patternFill>
    </fill>
    <fill>
      <patternFill patternType="solid">
        <fgColor rgb="FFF0D7AA"/>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indexed="64"/>
      </left>
      <right/>
      <top style="thin">
        <color indexed="64"/>
      </top>
      <bottom/>
      <diagonal/>
    </border>
    <border>
      <left/>
      <right style="thin">
        <color indexed="64"/>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1" tint="0.34998626667073579"/>
      </bottom>
      <diagonal/>
    </border>
    <border>
      <left/>
      <right style="thin">
        <color theme="0" tint="-0.499984740745262"/>
      </right>
      <top style="thin">
        <color theme="0" tint="-0.499984740745262"/>
      </top>
      <bottom style="thin">
        <color theme="1" tint="0.34998626667073579"/>
      </bottom>
      <diagonal/>
    </border>
  </borders>
  <cellStyleXfs count="6">
    <xf numFmtId="0" fontId="0" fillId="0" borderId="0"/>
    <xf numFmtId="43" fontId="1" fillId="0" borderId="0" applyFon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0" fontId="12" fillId="5" borderId="5" applyNumberFormat="0" applyAlignment="0" applyProtection="0"/>
    <xf numFmtId="0" fontId="13" fillId="0" borderId="0"/>
  </cellStyleXfs>
  <cellXfs count="231">
    <xf numFmtId="0" fontId="0" fillId="0" borderId="0" xfId="0"/>
    <xf numFmtId="0" fontId="2" fillId="0" borderId="0" xfId="0" applyFont="1"/>
    <xf numFmtId="0" fontId="2" fillId="0" borderId="1" xfId="0" applyFont="1" applyBorder="1"/>
    <xf numFmtId="0" fontId="6" fillId="0" borderId="0" xfId="0" applyFont="1"/>
    <xf numFmtId="0" fontId="8" fillId="4" borderId="2" xfId="0" applyFont="1" applyFill="1" applyBorder="1" applyAlignment="1">
      <alignment horizontal="right"/>
    </xf>
    <xf numFmtId="0" fontId="8" fillId="4" borderId="2" xfId="0" applyFont="1" applyFill="1" applyBorder="1" applyAlignment="1">
      <alignment horizontal="left"/>
    </xf>
    <xf numFmtId="164" fontId="2" fillId="0" borderId="1" xfId="1" applyNumberFormat="1" applyFont="1" applyBorder="1" applyAlignment="1">
      <alignment horizontal="right"/>
    </xf>
    <xf numFmtId="0" fontId="14" fillId="3" borderId="0" xfId="5" applyFont="1" applyFill="1" applyAlignment="1">
      <alignment horizontal="left"/>
    </xf>
    <xf numFmtId="0" fontId="11" fillId="0" borderId="4" xfId="0" applyFont="1" applyBorder="1" applyAlignment="1">
      <alignment vertical="center" wrapText="1"/>
    </xf>
    <xf numFmtId="0" fontId="8" fillId="4" borderId="1" xfId="0" applyFont="1" applyFill="1" applyBorder="1" applyAlignment="1">
      <alignment horizontal="right"/>
    </xf>
    <xf numFmtId="166" fontId="5" fillId="0" borderId="1" xfId="0" applyNumberFormat="1" applyFont="1" applyBorder="1"/>
    <xf numFmtId="166" fontId="5" fillId="0" borderId="1" xfId="0" applyNumberFormat="1" applyFont="1" applyBorder="1" applyAlignment="1">
      <alignment horizontal="right"/>
    </xf>
    <xf numFmtId="0" fontId="14" fillId="3" borderId="4" xfId="5" applyFont="1" applyFill="1" applyBorder="1" applyAlignment="1">
      <alignment horizontal="left"/>
    </xf>
    <xf numFmtId="0" fontId="0" fillId="8" borderId="9" xfId="0" applyFill="1" applyBorder="1" applyAlignment="1">
      <alignment horizontal="left" vertical="center"/>
    </xf>
    <xf numFmtId="0" fontId="0" fillId="8" borderId="10" xfId="0" applyFill="1" applyBorder="1" applyAlignment="1">
      <alignment horizontal="left" vertical="center"/>
    </xf>
    <xf numFmtId="0" fontId="0" fillId="8" borderId="10" xfId="0" applyFill="1" applyBorder="1" applyAlignment="1">
      <alignment wrapText="1"/>
    </xf>
    <xf numFmtId="0" fontId="0" fillId="8" borderId="10" xfId="0" applyFill="1" applyBorder="1"/>
    <xf numFmtId="0" fontId="0" fillId="8" borderId="11" xfId="0" applyFill="1" applyBorder="1"/>
    <xf numFmtId="0" fontId="14" fillId="8" borderId="12" xfId="5" applyFont="1" applyFill="1" applyBorder="1" applyAlignment="1">
      <alignment horizontal="left"/>
    </xf>
    <xf numFmtId="0" fontId="24" fillId="9" borderId="0" xfId="5" applyFont="1" applyFill="1" applyAlignment="1">
      <alignment horizontal="left" vertical="center"/>
    </xf>
    <xf numFmtId="0" fontId="0" fillId="8" borderId="0" xfId="0" applyFill="1"/>
    <xf numFmtId="0" fontId="0" fillId="8" borderId="13" xfId="0" applyFill="1" applyBorder="1"/>
    <xf numFmtId="0" fontId="0" fillId="8" borderId="12" xfId="0" applyFill="1" applyBorder="1" applyAlignment="1">
      <alignment horizontal="left" vertical="center"/>
    </xf>
    <xf numFmtId="0" fontId="0" fillId="8" borderId="0" xfId="0" applyFill="1" applyAlignment="1">
      <alignment horizontal="left" vertical="center"/>
    </xf>
    <xf numFmtId="0" fontId="0" fillId="8" borderId="0" xfId="0" applyFill="1" applyAlignment="1">
      <alignment wrapText="1"/>
    </xf>
    <xf numFmtId="0" fontId="14" fillId="3" borderId="12" xfId="5" applyFont="1" applyFill="1" applyBorder="1" applyAlignment="1">
      <alignment horizontal="left" vertical="center"/>
    </xf>
    <xf numFmtId="0" fontId="14" fillId="3" borderId="0" xfId="5" applyFont="1" applyFill="1" applyAlignment="1">
      <alignment horizontal="left" wrapText="1"/>
    </xf>
    <xf numFmtId="0" fontId="2" fillId="3" borderId="0" xfId="0" applyFont="1" applyFill="1"/>
    <xf numFmtId="0" fontId="0" fillId="3" borderId="0" xfId="0" applyFill="1"/>
    <xf numFmtId="0" fontId="0" fillId="3" borderId="13" xfId="0" applyFill="1" applyBorder="1"/>
    <xf numFmtId="0" fontId="2" fillId="8" borderId="12" xfId="0" applyFont="1" applyFill="1" applyBorder="1"/>
    <xf numFmtId="0" fontId="14" fillId="8" borderId="0" xfId="5" applyFont="1" applyFill="1" applyAlignment="1">
      <alignment horizontal="left" vertical="center"/>
    </xf>
    <xf numFmtId="0" fontId="14" fillId="8" borderId="0" xfId="5" applyFont="1" applyFill="1" applyAlignment="1">
      <alignment horizontal="left" wrapText="1"/>
    </xf>
    <xf numFmtId="0" fontId="14" fillId="8" borderId="0" xfId="5" applyFont="1" applyFill="1" applyAlignment="1">
      <alignment horizontal="left"/>
    </xf>
    <xf numFmtId="0" fontId="2" fillId="8" borderId="0" xfId="0" applyFont="1" applyFill="1"/>
    <xf numFmtId="0" fontId="21" fillId="8" borderId="14" xfId="5" applyFont="1" applyFill="1" applyBorder="1" applyAlignment="1">
      <alignment horizontal="left" vertical="center"/>
    </xf>
    <xf numFmtId="0" fontId="2" fillId="8" borderId="14" xfId="0" applyFont="1" applyFill="1" applyBorder="1" applyAlignment="1">
      <alignment wrapText="1"/>
    </xf>
    <xf numFmtId="0" fontId="14" fillId="8" borderId="14" xfId="5" applyFont="1" applyFill="1" applyBorder="1" applyAlignment="1">
      <alignment horizontal="left"/>
    </xf>
    <xf numFmtId="0" fontId="6" fillId="8" borderId="14" xfId="0" applyFont="1" applyFill="1" applyBorder="1" applyAlignment="1">
      <alignment horizontal="left" vertical="center"/>
    </xf>
    <xf numFmtId="0" fontId="2" fillId="8" borderId="14" xfId="0" applyFont="1" applyFill="1" applyBorder="1"/>
    <xf numFmtId="0" fontId="3" fillId="8" borderId="14" xfId="2" applyFill="1" applyBorder="1" applyAlignment="1">
      <alignment wrapText="1"/>
    </xf>
    <xf numFmtId="0" fontId="2" fillId="8" borderId="14" xfId="0" quotePrefix="1" applyFont="1" applyFill="1" applyBorder="1" applyAlignment="1">
      <alignment wrapText="1"/>
    </xf>
    <xf numFmtId="171" fontId="2" fillId="8" borderId="14" xfId="0" applyNumberFormat="1" applyFont="1" applyFill="1" applyBorder="1" applyAlignment="1">
      <alignment horizontal="left" wrapText="1"/>
    </xf>
    <xf numFmtId="172" fontId="2" fillId="8" borderId="1" xfId="1" applyNumberFormat="1" applyFont="1" applyFill="1" applyBorder="1" applyAlignment="1">
      <alignment horizontal="left" vertical="center"/>
    </xf>
    <xf numFmtId="17" fontId="2" fillId="8" borderId="14" xfId="0" applyNumberFormat="1" applyFont="1" applyFill="1" applyBorder="1" applyAlignment="1">
      <alignment horizontal="left" wrapText="1"/>
    </xf>
    <xf numFmtId="0" fontId="2" fillId="8" borderId="0" xfId="0" applyFont="1" applyFill="1" applyAlignment="1">
      <alignment wrapText="1"/>
    </xf>
    <xf numFmtId="0" fontId="14" fillId="3" borderId="13" xfId="5" applyFont="1" applyFill="1" applyBorder="1" applyAlignment="1">
      <alignment horizontal="left"/>
    </xf>
    <xf numFmtId="0" fontId="14" fillId="8" borderId="12" xfId="5" applyFont="1" applyFill="1" applyBorder="1" applyAlignment="1">
      <alignment horizontal="left" vertical="center"/>
    </xf>
    <xf numFmtId="0" fontId="25" fillId="8" borderId="12" xfId="0" applyFont="1" applyFill="1" applyBorder="1" applyAlignment="1">
      <alignment horizontal="left" vertical="center"/>
    </xf>
    <xf numFmtId="0" fontId="6" fillId="8" borderId="12" xfId="0" applyFont="1" applyFill="1" applyBorder="1" applyAlignment="1">
      <alignment horizontal="left" vertical="center"/>
    </xf>
    <xf numFmtId="0" fontId="0" fillId="0" borderId="0" xfId="0" applyAlignment="1">
      <alignment horizontal="left" vertical="center"/>
    </xf>
    <xf numFmtId="0" fontId="0" fillId="0" borderId="0" xfId="0" applyAlignment="1">
      <alignment wrapText="1"/>
    </xf>
    <xf numFmtId="0" fontId="2" fillId="8" borderId="12" xfId="0" applyFont="1" applyFill="1" applyBorder="1" applyAlignment="1">
      <alignment horizontal="left" vertical="center"/>
    </xf>
    <xf numFmtId="0" fontId="2" fillId="8" borderId="0" xfId="0" applyFont="1" applyFill="1" applyAlignment="1">
      <alignment horizontal="left" vertical="center"/>
    </xf>
    <xf numFmtId="0" fontId="20" fillId="8" borderId="12" xfId="0" applyFont="1" applyFill="1" applyBorder="1" applyAlignment="1">
      <alignment horizontal="left" vertical="center"/>
    </xf>
    <xf numFmtId="0" fontId="20" fillId="8" borderId="0" xfId="0" applyFont="1" applyFill="1" applyAlignment="1">
      <alignment horizontal="left" vertical="center"/>
    </xf>
    <xf numFmtId="0" fontId="0" fillId="8" borderId="0" xfId="0" applyFill="1" applyAlignment="1">
      <alignment horizontal="left"/>
    </xf>
    <xf numFmtId="0" fontId="0" fillId="8" borderId="12" xfId="0" applyFill="1" applyBorder="1" applyAlignment="1">
      <alignment horizontal="left"/>
    </xf>
    <xf numFmtId="168" fontId="0" fillId="0" borderId="0" xfId="0" applyNumberFormat="1" applyAlignment="1">
      <alignment horizontal="left"/>
    </xf>
    <xf numFmtId="0" fontId="0" fillId="8" borderId="8" xfId="0" applyFill="1" applyBorder="1" applyAlignment="1">
      <alignment vertical="center"/>
    </xf>
    <xf numFmtId="166" fontId="0" fillId="8" borderId="0" xfId="0" applyNumberFormat="1" applyFill="1" applyAlignment="1">
      <alignment horizontal="left"/>
    </xf>
    <xf numFmtId="0" fontId="0" fillId="8" borderId="15" xfId="0" applyFill="1" applyBorder="1" applyAlignment="1">
      <alignment horizontal="left" vertical="center"/>
    </xf>
    <xf numFmtId="0" fontId="0" fillId="8" borderId="16" xfId="0" applyFill="1" applyBorder="1" applyAlignment="1">
      <alignment wrapText="1"/>
    </xf>
    <xf numFmtId="0" fontId="0" fillId="8" borderId="16" xfId="0" applyFill="1" applyBorder="1"/>
    <xf numFmtId="0" fontId="0" fillId="8" borderId="17" xfId="0" applyFill="1" applyBorder="1"/>
    <xf numFmtId="0" fontId="6" fillId="8" borderId="1" xfId="0" applyFont="1" applyFill="1" applyBorder="1" applyAlignment="1">
      <alignment horizontal="left"/>
    </xf>
    <xf numFmtId="0" fontId="5" fillId="8" borderId="14" xfId="2" applyFont="1" applyFill="1" applyBorder="1" applyAlignment="1">
      <alignment wrapText="1"/>
    </xf>
    <xf numFmtId="0" fontId="27" fillId="0" borderId="0" xfId="0" applyFont="1"/>
    <xf numFmtId="0" fontId="0" fillId="0" borderId="8" xfId="0" applyBorder="1"/>
    <xf numFmtId="0" fontId="0" fillId="0" borderId="4" xfId="0" applyBorder="1"/>
    <xf numFmtId="0" fontId="14" fillId="3" borderId="8" xfId="5" applyFont="1" applyFill="1" applyBorder="1" applyAlignment="1">
      <alignment horizontal="left"/>
    </xf>
    <xf numFmtId="0" fontId="0" fillId="0" borderId="20" xfId="0" applyBorder="1"/>
    <xf numFmtId="0" fontId="0" fillId="0" borderId="6" xfId="0" applyBorder="1"/>
    <xf numFmtId="0" fontId="0" fillId="0" borderId="21" xfId="0" applyBorder="1"/>
    <xf numFmtId="0" fontId="2" fillId="0" borderId="8" xfId="0" applyFont="1" applyBorder="1"/>
    <xf numFmtId="0" fontId="6" fillId="0" borderId="8" xfId="0" applyFont="1" applyBorder="1"/>
    <xf numFmtId="165" fontId="2" fillId="0" borderId="8" xfId="0" applyNumberFormat="1" applyFont="1" applyBorder="1"/>
    <xf numFmtId="0" fontId="28" fillId="3" borderId="0" xfId="5" applyFont="1" applyFill="1" applyAlignment="1">
      <alignment horizontal="left" vertical="center"/>
    </xf>
    <xf numFmtId="0" fontId="30" fillId="8" borderId="16" xfId="0" applyFont="1" applyFill="1" applyBorder="1" applyAlignment="1">
      <alignment horizontal="left" vertical="center"/>
    </xf>
    <xf numFmtId="0" fontId="6" fillId="8" borderId="22" xfId="0" applyFont="1" applyFill="1" applyBorder="1" applyAlignment="1">
      <alignment horizontal="left" vertical="center"/>
    </xf>
    <xf numFmtId="5" fontId="0" fillId="8" borderId="0" xfId="0" applyNumberFormat="1" applyFill="1" applyAlignment="1">
      <alignment wrapText="1"/>
    </xf>
    <xf numFmtId="0" fontId="2" fillId="0" borderId="0" xfId="0" applyFont="1" applyAlignment="1">
      <alignment horizontal="left"/>
    </xf>
    <xf numFmtId="0" fontId="24" fillId="9" borderId="0" xfId="5" applyFont="1" applyFill="1" applyAlignment="1">
      <alignment vertical="center"/>
    </xf>
    <xf numFmtId="0" fontId="14" fillId="3" borderId="7" xfId="5" applyFont="1" applyFill="1" applyBorder="1" applyAlignment="1">
      <alignment horizontal="left"/>
    </xf>
    <xf numFmtId="170" fontId="15" fillId="3" borderId="18" xfId="5" applyNumberFormat="1" applyFont="1" applyFill="1" applyBorder="1" applyAlignment="1">
      <alignment horizontal="center"/>
    </xf>
    <xf numFmtId="0" fontId="15" fillId="3" borderId="18" xfId="5" applyFont="1" applyFill="1" applyBorder="1"/>
    <xf numFmtId="0" fontId="14" fillId="3" borderId="18" xfId="5" applyFont="1" applyFill="1" applyBorder="1" applyAlignment="1">
      <alignment horizontal="left"/>
    </xf>
    <xf numFmtId="0" fontId="14" fillId="3" borderId="19" xfId="5" applyFont="1" applyFill="1" applyBorder="1" applyAlignment="1">
      <alignment horizontal="left"/>
    </xf>
    <xf numFmtId="0" fontId="16" fillId="0" borderId="4" xfId="5" applyFont="1" applyBorder="1"/>
    <xf numFmtId="0" fontId="14" fillId="0" borderId="0" xfId="5" applyFont="1" applyAlignment="1">
      <alignment horizontal="left"/>
    </xf>
    <xf numFmtId="0" fontId="15" fillId="0" borderId="0" xfId="5" applyFont="1"/>
    <xf numFmtId="170" fontId="15" fillId="0" borderId="0" xfId="5" applyNumberFormat="1" applyFont="1" applyAlignment="1">
      <alignment horizontal="center"/>
    </xf>
    <xf numFmtId="0" fontId="18" fillId="3" borderId="0" xfId="5" applyFont="1" applyFill="1" applyAlignment="1">
      <alignment horizontal="left"/>
    </xf>
    <xf numFmtId="0" fontId="18" fillId="3" borderId="8" xfId="5" applyFont="1" applyFill="1" applyBorder="1" applyAlignment="1">
      <alignment horizontal="left"/>
    </xf>
    <xf numFmtId="0" fontId="6" fillId="0" borderId="0" xfId="0" applyFont="1" applyAlignment="1">
      <alignment horizontal="left"/>
    </xf>
    <xf numFmtId="0" fontId="22" fillId="0" borderId="0" xfId="0" applyFont="1" applyAlignment="1">
      <alignment horizontal="left" vertical="center" wrapText="1"/>
    </xf>
    <xf numFmtId="0" fontId="32" fillId="0" borderId="0" xfId="2" applyFont="1" applyFill="1"/>
    <xf numFmtId="173" fontId="2" fillId="0" borderId="6" xfId="0" applyNumberFormat="1" applyFont="1" applyBorder="1"/>
    <xf numFmtId="164" fontId="0" fillId="3" borderId="0" xfId="1" applyNumberFormat="1" applyFont="1" applyFill="1" applyBorder="1"/>
    <xf numFmtId="0" fontId="0" fillId="3" borderId="8" xfId="0" applyFill="1" applyBorder="1"/>
    <xf numFmtId="164" fontId="0" fillId="0" borderId="0" xfId="1" applyNumberFormat="1" applyFont="1" applyFill="1" applyBorder="1"/>
    <xf numFmtId="164" fontId="2" fillId="0" borderId="0" xfId="1" applyNumberFormat="1" applyFont="1" applyFill="1" applyBorder="1"/>
    <xf numFmtId="3" fontId="2" fillId="0" borderId="1" xfId="0" applyNumberFormat="1" applyFont="1" applyBorder="1"/>
    <xf numFmtId="3" fontId="6" fillId="0" borderId="1" xfId="0" applyNumberFormat="1" applyFont="1" applyBorder="1"/>
    <xf numFmtId="164" fontId="2" fillId="0" borderId="0" xfId="1" applyNumberFormat="1" applyFont="1" applyBorder="1"/>
    <xf numFmtId="3" fontId="2" fillId="6" borderId="1" xfId="0" applyNumberFormat="1" applyFont="1" applyFill="1" applyBorder="1"/>
    <xf numFmtId="0" fontId="2" fillId="0" borderId="1" xfId="0" applyFont="1" applyBorder="1" applyAlignment="1">
      <alignment vertical="center"/>
    </xf>
    <xf numFmtId="0" fontId="0" fillId="0" borderId="0" xfId="0" applyAlignment="1">
      <alignment vertical="center"/>
    </xf>
    <xf numFmtId="0" fontId="0" fillId="0" borderId="8" xfId="0" applyBorder="1" applyAlignment="1">
      <alignment vertical="center"/>
    </xf>
    <xf numFmtId="0" fontId="14" fillId="0" borderId="8" xfId="5" applyFont="1" applyBorder="1" applyAlignment="1">
      <alignment horizontal="left"/>
    </xf>
    <xf numFmtId="174" fontId="2" fillId="0" borderId="8" xfId="0" applyNumberFormat="1" applyFont="1" applyBorder="1" applyAlignment="1">
      <alignment horizontal="right" vertical="center"/>
    </xf>
    <xf numFmtId="173" fontId="6" fillId="0" borderId="6" xfId="0" applyNumberFormat="1" applyFont="1" applyBorder="1"/>
    <xf numFmtId="167" fontId="0" fillId="0" borderId="0" xfId="0" applyNumberFormat="1"/>
    <xf numFmtId="9" fontId="17" fillId="0" borderId="0" xfId="3" applyFont="1" applyFill="1" applyBorder="1" applyAlignment="1">
      <alignment horizontal="center" vertical="center"/>
    </xf>
    <xf numFmtId="173" fontId="2" fillId="0" borderId="8" xfId="0" applyNumberFormat="1" applyFont="1" applyBorder="1"/>
    <xf numFmtId="170" fontId="15" fillId="3" borderId="0" xfId="5" applyNumberFormat="1" applyFont="1" applyFill="1" applyAlignment="1">
      <alignment horizontal="center" wrapText="1"/>
    </xf>
    <xf numFmtId="0" fontId="15" fillId="3" borderId="0" xfId="5" applyFont="1" applyFill="1"/>
    <xf numFmtId="170" fontId="15" fillId="3" borderId="0" xfId="5" applyNumberFormat="1" applyFont="1" applyFill="1" applyAlignment="1">
      <alignment horizontal="center"/>
    </xf>
    <xf numFmtId="170" fontId="15" fillId="0" borderId="0" xfId="5" applyNumberFormat="1" applyFont="1" applyAlignment="1">
      <alignment horizontal="center" wrapText="1"/>
    </xf>
    <xf numFmtId="9" fontId="34" fillId="0" borderId="0" xfId="5" applyNumberFormat="1" applyFont="1"/>
    <xf numFmtId="0" fontId="19" fillId="0" borderId="0" xfId="0" applyFont="1"/>
    <xf numFmtId="168" fontId="0" fillId="0" borderId="0" xfId="0" applyNumberFormat="1"/>
    <xf numFmtId="3" fontId="2" fillId="0" borderId="0" xfId="0" applyNumberFormat="1" applyFont="1"/>
    <xf numFmtId="0" fontId="10" fillId="0" borderId="0" xfId="0" applyFont="1" applyAlignment="1">
      <alignment horizontal="left" vertical="center"/>
    </xf>
    <xf numFmtId="0" fontId="0" fillId="0" borderId="0" xfId="0" applyAlignment="1">
      <alignment horizontal="left"/>
    </xf>
    <xf numFmtId="169" fontId="0" fillId="0" borderId="0" xfId="0" applyNumberFormat="1"/>
    <xf numFmtId="5" fontId="0" fillId="0" borderId="0" xfId="0" applyNumberFormat="1"/>
    <xf numFmtId="0" fontId="11" fillId="0" borderId="0" xfId="0" applyFont="1" applyAlignment="1">
      <alignment vertical="center" wrapText="1"/>
    </xf>
    <xf numFmtId="165" fontId="2" fillId="0" borderId="0" xfId="0" applyNumberFormat="1" applyFont="1"/>
    <xf numFmtId="167" fontId="31" fillId="0" borderId="0" xfId="0" applyNumberFormat="1" applyFont="1"/>
    <xf numFmtId="167" fontId="0" fillId="8" borderId="0" xfId="0" applyNumberFormat="1" applyFill="1"/>
    <xf numFmtId="0" fontId="6" fillId="8" borderId="0" xfId="0" applyFont="1" applyFill="1" applyAlignment="1">
      <alignment horizontal="left" vertical="center"/>
    </xf>
    <xf numFmtId="17" fontId="2" fillId="8" borderId="0" xfId="0" applyNumberFormat="1" applyFont="1" applyFill="1" applyAlignment="1">
      <alignment horizontal="left" wrapText="1"/>
    </xf>
    <xf numFmtId="0" fontId="2" fillId="0" borderId="1" xfId="0" applyFont="1" applyBorder="1" applyAlignment="1">
      <alignment horizontal="left"/>
    </xf>
    <xf numFmtId="167" fontId="6" fillId="11" borderId="0" xfId="0" applyNumberFormat="1" applyFont="1" applyFill="1"/>
    <xf numFmtId="173" fontId="6" fillId="11" borderId="6" xfId="0" applyNumberFormat="1" applyFont="1" applyFill="1" applyBorder="1"/>
    <xf numFmtId="173" fontId="6" fillId="11" borderId="8" xfId="0" applyNumberFormat="1" applyFont="1" applyFill="1" applyBorder="1"/>
    <xf numFmtId="174" fontId="6" fillId="11" borderId="8" xfId="0" applyNumberFormat="1" applyFont="1" applyFill="1" applyBorder="1" applyAlignment="1">
      <alignment horizontal="right" vertical="center"/>
    </xf>
    <xf numFmtId="167" fontId="20" fillId="11" borderId="0" xfId="0" applyNumberFormat="1" applyFont="1" applyFill="1"/>
    <xf numFmtId="0" fontId="2" fillId="0" borderId="0" xfId="0" applyFont="1" applyAlignment="1">
      <alignment vertical="center" textRotation="90" wrapText="1"/>
    </xf>
    <xf numFmtId="167" fontId="0" fillId="10" borderId="0" xfId="0" applyNumberFormat="1" applyFill="1"/>
    <xf numFmtId="0" fontId="32" fillId="0" borderId="1" xfId="2" applyFont="1" applyBorder="1" applyAlignment="1">
      <alignment horizontal="left" vertical="center"/>
    </xf>
    <xf numFmtId="0" fontId="8" fillId="4" borderId="4" xfId="0" applyFont="1" applyFill="1" applyBorder="1"/>
    <xf numFmtId="0" fontId="33" fillId="0" borderId="1" xfId="0" quotePrefix="1" applyFont="1" applyBorder="1" applyAlignment="1">
      <alignment vertical="center"/>
    </xf>
    <xf numFmtId="1" fontId="2" fillId="0" borderId="1" xfId="0" applyNumberFormat="1" applyFont="1" applyBorder="1" applyAlignment="1">
      <alignment vertical="center"/>
    </xf>
    <xf numFmtId="0" fontId="2" fillId="0" borderId="1" xfId="0" applyFont="1" applyBorder="1" applyAlignment="1">
      <alignment horizontal="left" vertical="center"/>
    </xf>
    <xf numFmtId="174" fontId="0" fillId="0" borderId="0" xfId="0" applyNumberFormat="1"/>
    <xf numFmtId="0" fontId="2" fillId="0" borderId="1" xfId="0" applyFont="1" applyBorder="1" applyAlignment="1">
      <alignment horizontal="right"/>
    </xf>
    <xf numFmtId="0" fontId="36" fillId="4" borderId="24" xfId="0" applyFont="1" applyFill="1" applyBorder="1" applyAlignment="1">
      <alignment horizontal="right"/>
    </xf>
    <xf numFmtId="0" fontId="36" fillId="4" borderId="25" xfId="0" applyFont="1" applyFill="1" applyBorder="1"/>
    <xf numFmtId="0" fontId="36" fillId="4" borderId="24" xfId="0" applyFont="1" applyFill="1" applyBorder="1"/>
    <xf numFmtId="0" fontId="36" fillId="4" borderId="26" xfId="0" applyFont="1" applyFill="1" applyBorder="1"/>
    <xf numFmtId="0" fontId="37" fillId="0" borderId="0" xfId="0" applyFont="1"/>
    <xf numFmtId="0" fontId="37" fillId="0" borderId="8" xfId="0" applyFont="1" applyBorder="1"/>
    <xf numFmtId="0" fontId="36" fillId="4" borderId="1" xfId="0" applyFont="1" applyFill="1" applyBorder="1"/>
    <xf numFmtId="0" fontId="36" fillId="4" borderId="3" xfId="0" applyFont="1" applyFill="1" applyBorder="1"/>
    <xf numFmtId="0" fontId="29" fillId="0" borderId="0" xfId="0" applyFont="1" applyAlignment="1">
      <alignment horizontal="left" vertical="center" wrapText="1"/>
    </xf>
    <xf numFmtId="0" fontId="23" fillId="0" borderId="0" xfId="0" applyFont="1" applyAlignment="1">
      <alignment horizontal="left" vertical="center" wrapText="1"/>
    </xf>
    <xf numFmtId="0" fontId="9" fillId="0" borderId="0" xfId="0" applyFont="1"/>
    <xf numFmtId="0" fontId="7" fillId="0" borderId="0" xfId="0" applyFont="1"/>
    <xf numFmtId="0" fontId="8" fillId="4" borderId="1" xfId="0" applyFont="1" applyFill="1" applyBorder="1" applyAlignment="1">
      <alignment horizontal="left"/>
    </xf>
    <xf numFmtId="0" fontId="8" fillId="4" borderId="1" xfId="0" applyFont="1" applyFill="1" applyBorder="1"/>
    <xf numFmtId="0" fontId="39" fillId="3" borderId="0" xfId="5" applyFont="1" applyFill="1" applyAlignment="1">
      <alignment horizontal="left"/>
    </xf>
    <xf numFmtId="0" fontId="39" fillId="3" borderId="18" xfId="5" applyFont="1" applyFill="1" applyBorder="1" applyAlignment="1">
      <alignment horizontal="left"/>
    </xf>
    <xf numFmtId="0" fontId="38" fillId="3" borderId="0" xfId="5" applyFont="1" applyFill="1" applyAlignment="1">
      <alignment horizontal="left" vertical="center"/>
    </xf>
    <xf numFmtId="2" fontId="2" fillId="0" borderId="0" xfId="0" applyNumberFormat="1" applyFont="1" applyAlignment="1">
      <alignment horizontal="left"/>
    </xf>
    <xf numFmtId="0" fontId="2" fillId="0" borderId="1" xfId="0" applyFont="1" applyBorder="1" applyAlignment="1">
      <alignment wrapText="1"/>
    </xf>
    <xf numFmtId="5" fontId="2" fillId="0" borderId="1" xfId="0" applyNumberFormat="1" applyFont="1" applyBorder="1"/>
    <xf numFmtId="0" fontId="8" fillId="0" borderId="1" xfId="0" applyFont="1" applyBorder="1" applyAlignment="1">
      <alignment vertical="center"/>
    </xf>
    <xf numFmtId="5" fontId="36" fillId="0" borderId="1" xfId="0" applyNumberFormat="1" applyFont="1" applyBorder="1" applyAlignment="1">
      <alignment vertical="center"/>
    </xf>
    <xf numFmtId="0" fontId="8" fillId="0" borderId="1" xfId="0" applyFont="1" applyBorder="1" applyAlignment="1">
      <alignment vertical="center" wrapText="1"/>
    </xf>
    <xf numFmtId="168" fontId="36" fillId="0" borderId="1" xfId="0" applyNumberFormat="1" applyFont="1" applyBorder="1" applyAlignment="1">
      <alignment vertical="center"/>
    </xf>
    <xf numFmtId="167" fontId="36" fillId="0" borderId="1" xfId="0" applyNumberFormat="1" applyFont="1" applyBorder="1" applyAlignment="1">
      <alignment vertical="center"/>
    </xf>
    <xf numFmtId="0" fontId="36" fillId="9" borderId="14" xfId="0" applyFont="1" applyFill="1" applyBorder="1" applyAlignment="1">
      <alignment horizontal="left" vertical="center" wrapText="1"/>
    </xf>
    <xf numFmtId="167" fontId="26" fillId="11" borderId="14" xfId="0" applyNumberFormat="1" applyFont="1" applyFill="1" applyBorder="1" applyAlignment="1">
      <alignment horizontal="left" vertical="center" wrapText="1"/>
    </xf>
    <xf numFmtId="0" fontId="32" fillId="0" borderId="1" xfId="2" applyFont="1" applyBorder="1" applyAlignment="1">
      <alignment vertical="center" wrapText="1"/>
    </xf>
    <xf numFmtId="0" fontId="21" fillId="4" borderId="1" xfId="5" applyFont="1" applyFill="1" applyBorder="1" applyAlignment="1">
      <alignment horizontal="left" vertical="center" wrapText="1"/>
    </xf>
    <xf numFmtId="0" fontId="33" fillId="7" borderId="1" xfId="0" applyFont="1" applyFill="1" applyBorder="1"/>
    <xf numFmtId="0" fontId="21" fillId="4" borderId="1" xfId="5" applyFont="1" applyFill="1" applyBorder="1" applyAlignment="1">
      <alignment horizontal="left" vertical="center"/>
    </xf>
    <xf numFmtId="0" fontId="32" fillId="0" borderId="0" xfId="2" applyFont="1" applyFill="1" applyBorder="1" applyAlignment="1"/>
    <xf numFmtId="0" fontId="32" fillId="0" borderId="0" xfId="2" applyFont="1" applyAlignment="1">
      <alignment horizontal="left" vertical="center"/>
    </xf>
    <xf numFmtId="0" fontId="35" fillId="0" borderId="1" xfId="0" applyFont="1" applyBorder="1" applyAlignment="1">
      <alignment horizontal="left" vertical="center" wrapText="1"/>
    </xf>
    <xf numFmtId="0" fontId="2" fillId="0" borderId="6" xfId="0" applyFont="1" applyBorder="1"/>
    <xf numFmtId="3" fontId="33" fillId="10" borderId="1" xfId="0" applyNumberFormat="1" applyFont="1" applyFill="1" applyBorder="1" applyAlignment="1">
      <alignment vertical="center" wrapText="1"/>
    </xf>
    <xf numFmtId="0" fontId="35" fillId="8" borderId="1" xfId="0" applyFont="1" applyFill="1" applyBorder="1" applyAlignment="1">
      <alignment horizontal="left" vertical="center" wrapText="1"/>
    </xf>
    <xf numFmtId="3" fontId="2" fillId="0" borderId="1" xfId="0" applyNumberFormat="1" applyFont="1" applyBorder="1" applyAlignment="1">
      <alignment vertical="center"/>
    </xf>
    <xf numFmtId="176" fontId="8" fillId="2" borderId="1" xfId="0" applyNumberFormat="1" applyFont="1" applyFill="1" applyBorder="1"/>
    <xf numFmtId="0" fontId="32" fillId="0" borderId="1" xfId="2" applyFont="1" applyBorder="1" applyAlignment="1">
      <alignment vertical="center"/>
    </xf>
    <xf numFmtId="0" fontId="2" fillId="0" borderId="24" xfId="0" applyFont="1" applyBorder="1" applyAlignment="1">
      <alignment horizontal="left" vertical="center"/>
    </xf>
    <xf numFmtId="0" fontId="2" fillId="0" borderId="26" xfId="0" applyFont="1" applyBorder="1" applyAlignment="1">
      <alignment vertical="center"/>
    </xf>
    <xf numFmtId="174" fontId="2" fillId="10" borderId="27" xfId="0" applyNumberFormat="1" applyFont="1" applyFill="1" applyBorder="1" applyAlignment="1">
      <alignment horizontal="right" vertical="center"/>
    </xf>
    <xf numFmtId="177" fontId="2" fillId="0" borderId="8" xfId="0" applyNumberFormat="1" applyFont="1" applyBorder="1" applyAlignment="1">
      <alignment horizontal="right" vertical="center"/>
    </xf>
    <xf numFmtId="174" fontId="2" fillId="0" borderId="23" xfId="0" applyNumberFormat="1" applyFont="1" applyBorder="1" applyAlignment="1">
      <alignment horizontal="right" vertical="center"/>
    </xf>
    <xf numFmtId="177" fontId="6" fillId="11" borderId="8" xfId="0" applyNumberFormat="1" applyFont="1" applyFill="1" applyBorder="1" applyAlignment="1">
      <alignment horizontal="right" vertical="center"/>
    </xf>
    <xf numFmtId="0" fontId="5" fillId="8" borderId="1" xfId="4" applyFont="1" applyFill="1" applyBorder="1" applyAlignment="1">
      <alignment horizontal="right" wrapText="1"/>
    </xf>
    <xf numFmtId="9" fontId="2" fillId="8" borderId="1" xfId="3" applyFont="1" applyFill="1" applyBorder="1" applyAlignment="1">
      <alignment horizontal="right" vertical="center"/>
    </xf>
    <xf numFmtId="175" fontId="2" fillId="0" borderId="1" xfId="0" applyNumberFormat="1" applyFont="1" applyBorder="1" applyAlignment="1">
      <alignment horizontal="right"/>
    </xf>
    <xf numFmtId="0" fontId="21" fillId="4" borderId="1" xfId="5" applyFont="1" applyFill="1" applyBorder="1" applyAlignment="1">
      <alignment horizontal="center" vertical="center" wrapText="1"/>
    </xf>
    <xf numFmtId="0" fontId="21" fillId="4" borderId="1" xfId="5" applyFont="1" applyFill="1" applyBorder="1" applyAlignment="1">
      <alignment horizontal="center" vertical="center"/>
    </xf>
    <xf numFmtId="173" fontId="2" fillId="12" borderId="27" xfId="0" applyNumberFormat="1" applyFont="1" applyFill="1" applyBorder="1" applyAlignment="1">
      <alignment horizontal="right" vertical="center"/>
    </xf>
    <xf numFmtId="167" fontId="2" fillId="10" borderId="27" xfId="0" applyNumberFormat="1" applyFont="1" applyFill="1" applyBorder="1" applyAlignment="1">
      <alignment horizontal="right" vertical="center"/>
    </xf>
    <xf numFmtId="9" fontId="2" fillId="12" borderId="27" xfId="3" applyFont="1" applyFill="1" applyBorder="1" applyAlignment="1">
      <alignment horizontal="right" vertical="center"/>
    </xf>
    <xf numFmtId="0" fontId="23" fillId="0" borderId="24" xfId="0" applyFont="1" applyBorder="1" applyAlignment="1">
      <alignment horizontal="left" vertical="center" wrapText="1"/>
    </xf>
    <xf numFmtId="0" fontId="8" fillId="0" borderId="0" xfId="0" applyFont="1" applyAlignment="1">
      <alignment vertical="center"/>
    </xf>
    <xf numFmtId="167" fontId="36" fillId="0" borderId="0" xfId="0" applyNumberFormat="1" applyFont="1" applyAlignment="1">
      <alignment vertical="center"/>
    </xf>
    <xf numFmtId="0" fontId="2" fillId="0" borderId="1" xfId="0" applyFont="1" applyBorder="1" applyAlignment="1">
      <alignment horizontal="right" vertical="center" wrapText="1"/>
    </xf>
    <xf numFmtId="167" fontId="2" fillId="0" borderId="28" xfId="0" applyNumberFormat="1" applyFont="1" applyBorder="1" applyAlignment="1">
      <alignment horizontal="left" vertical="center"/>
    </xf>
    <xf numFmtId="0" fontId="6" fillId="0" borderId="28" xfId="0" applyFont="1" applyBorder="1" applyAlignment="1">
      <alignment horizontal="left" vertical="center" wrapText="1"/>
    </xf>
    <xf numFmtId="0" fontId="2" fillId="8" borderId="28" xfId="0" applyFont="1" applyFill="1" applyBorder="1" applyAlignment="1">
      <alignment vertical="center" wrapText="1"/>
    </xf>
    <xf numFmtId="173" fontId="40" fillId="0" borderId="1" xfId="0" applyNumberFormat="1" applyFont="1" applyBorder="1" applyAlignment="1">
      <alignment vertical="center"/>
    </xf>
    <xf numFmtId="3" fontId="33" fillId="3" borderId="1" xfId="0" applyNumberFormat="1" applyFont="1" applyFill="1" applyBorder="1" applyAlignment="1">
      <alignment vertical="center" wrapText="1"/>
    </xf>
    <xf numFmtId="3" fontId="2" fillId="10" borderId="1" xfId="0" applyNumberFormat="1" applyFont="1" applyFill="1" applyBorder="1" applyAlignment="1">
      <alignment vertical="center"/>
    </xf>
    <xf numFmtId="0" fontId="2" fillId="0" borderId="0" xfId="0" applyFont="1" applyAlignment="1">
      <alignment horizontal="right" vertical="center" textRotation="90" wrapText="1"/>
    </xf>
    <xf numFmtId="0" fontId="2" fillId="0" borderId="0" xfId="0" applyFont="1" applyAlignment="1">
      <alignment horizontal="center"/>
    </xf>
    <xf numFmtId="0" fontId="4" fillId="0" borderId="0" xfId="0" applyFont="1" applyAlignment="1">
      <alignment horizontal="left"/>
    </xf>
    <xf numFmtId="0" fontId="36" fillId="4" borderId="1" xfId="0" applyFont="1" applyFill="1" applyBorder="1" applyAlignment="1">
      <alignment horizontal="left" vertical="center" wrapText="1"/>
    </xf>
    <xf numFmtId="176" fontId="8" fillId="2" borderId="24" xfId="0" applyNumberFormat="1" applyFont="1" applyFill="1" applyBorder="1" applyAlignment="1">
      <alignment horizontal="left"/>
    </xf>
    <xf numFmtId="176" fontId="8" fillId="2" borderId="26" xfId="0" applyNumberFormat="1" applyFont="1" applyFill="1" applyBorder="1" applyAlignment="1">
      <alignment horizontal="left"/>
    </xf>
    <xf numFmtId="0" fontId="2" fillId="0" borderId="2" xfId="0" applyFont="1" applyBorder="1" applyAlignment="1">
      <alignment horizontal="left" vertical="center" wrapText="1"/>
    </xf>
    <xf numFmtId="0" fontId="2" fillId="0" borderId="23" xfId="0" applyFont="1" applyBorder="1" applyAlignment="1">
      <alignment horizontal="left" vertical="center" wrapText="1"/>
    </xf>
    <xf numFmtId="0" fontId="2" fillId="0" borderId="3" xfId="0" applyFont="1" applyBorder="1" applyAlignment="1">
      <alignment horizontal="left" vertical="center" wrapText="1"/>
    </xf>
    <xf numFmtId="0" fontId="30" fillId="0" borderId="0" xfId="0" applyFont="1" applyAlignment="1">
      <alignment horizontal="left" vertical="top" wrapText="1"/>
    </xf>
    <xf numFmtId="0" fontId="0" fillId="8" borderId="8" xfId="0" applyFill="1" applyBorder="1" applyAlignment="1">
      <alignment horizontal="left"/>
    </xf>
    <xf numFmtId="0" fontId="2" fillId="8" borderId="1" xfId="0" applyFont="1" applyFill="1" applyBorder="1" applyAlignment="1">
      <alignment horizontal="left" vertical="center" wrapText="1"/>
    </xf>
    <xf numFmtId="0" fontId="25" fillId="9" borderId="29" xfId="0" applyFont="1" applyFill="1" applyBorder="1" applyAlignment="1">
      <alignment horizontal="left" vertical="center"/>
    </xf>
    <xf numFmtId="0" fontId="25" fillId="9" borderId="30" xfId="0" applyFont="1" applyFill="1" applyBorder="1" applyAlignment="1">
      <alignment horizontal="left" vertical="center"/>
    </xf>
    <xf numFmtId="0" fontId="6" fillId="8" borderId="9" xfId="0" applyFont="1" applyFill="1" applyBorder="1" applyAlignment="1">
      <alignment horizontal="left" vertical="center"/>
    </xf>
    <xf numFmtId="0" fontId="6" fillId="8" borderId="15" xfId="0" applyFont="1" applyFill="1" applyBorder="1" applyAlignment="1">
      <alignment horizontal="left" vertical="center"/>
    </xf>
    <xf numFmtId="0" fontId="42" fillId="8" borderId="0" xfId="4" applyFont="1" applyFill="1" applyBorder="1" applyAlignment="1">
      <alignment horizontal="center" vertical="center"/>
    </xf>
    <xf numFmtId="0" fontId="43" fillId="3" borderId="0" xfId="4" applyFont="1" applyFill="1" applyBorder="1" applyAlignment="1">
      <alignment horizontal="center" vertical="center"/>
    </xf>
    <xf numFmtId="167" fontId="44" fillId="10" borderId="0" xfId="0" quotePrefix="1" applyNumberFormat="1" applyFont="1" applyFill="1" applyAlignment="1">
      <alignment horizontal="center" vertical="center"/>
    </xf>
  </cellXfs>
  <cellStyles count="6">
    <cellStyle name="Comma" xfId="1" builtinId="3"/>
    <cellStyle name="Hyperlink" xfId="2" xr:uid="{00000000-000B-0000-0000-000008000000}"/>
    <cellStyle name="Input" xfId="4" builtinId="20"/>
    <cellStyle name="Normal" xfId="0" builtinId="0"/>
    <cellStyle name="Normal 3" xfId="5" xr:uid="{791409E8-066B-4291-8126-D4874143ECBF}"/>
    <cellStyle name="Percent" xfId="3" builtinId="5"/>
  </cellStyles>
  <dxfs count="13">
    <dxf>
      <font>
        <color rgb="FF9C0006"/>
      </font>
    </dxf>
    <dxf>
      <font>
        <color rgb="FF9C0006"/>
      </font>
    </dxf>
    <dxf>
      <font>
        <color rgb="FF9C0006"/>
      </font>
    </dxf>
    <dxf>
      <font>
        <color rgb="FF9C0006"/>
      </font>
    </dxf>
    <dxf>
      <font>
        <color rgb="FF9C0006"/>
      </font>
    </dxf>
    <dxf>
      <font>
        <color rgb="FF9C0006"/>
      </font>
    </dxf>
    <dxf>
      <font>
        <color rgb="FF9C0006"/>
      </font>
    </dxf>
    <dxf>
      <font>
        <color theme="0"/>
      </font>
      <fill>
        <patternFill>
          <bgColor rgb="FFB4463C"/>
        </patternFill>
      </fill>
    </dxf>
    <dxf>
      <fill>
        <patternFill>
          <bgColor rgb="FFE1BE6E"/>
        </patternFill>
      </fill>
    </dxf>
    <dxf>
      <fill>
        <patternFill>
          <bgColor rgb="FF96B473"/>
        </patternFill>
      </fill>
    </dxf>
    <dxf>
      <font>
        <color theme="0"/>
      </font>
      <fill>
        <patternFill>
          <bgColor rgb="FFB4463C"/>
        </patternFill>
      </fill>
    </dxf>
    <dxf>
      <fill>
        <patternFill>
          <bgColor rgb="FFE1BE6E"/>
        </patternFill>
      </fill>
    </dxf>
    <dxf>
      <fill>
        <patternFill>
          <bgColor rgb="FF96B473"/>
        </patternFill>
      </fill>
    </dxf>
  </dxfs>
  <tableStyles count="0" defaultTableStyle="TableStyleMedium2" defaultPivotStyle="PivotStyleLight16"/>
  <colors>
    <mruColors>
      <color rgb="FFDCA591"/>
      <color rgb="FFF0D7AA"/>
      <color rgb="FFCDD2B4"/>
      <color rgb="FF8CA0C3"/>
      <color rgb="FFC8AFBE"/>
      <color rgb="FFBED2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r>
              <a:rPr lang="en-US" b="1"/>
              <a:t>Present Value vs. Project Costs</a:t>
            </a:r>
          </a:p>
        </c:rich>
      </c:tx>
      <c:layout>
        <c:manualLayout>
          <c:xMode val="edge"/>
          <c:yMode val="edge"/>
          <c:x val="0.38266930231298235"/>
          <c:y val="2.772963388617406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manualLayout>
          <c:layoutTarget val="inner"/>
          <c:xMode val="edge"/>
          <c:yMode val="edge"/>
          <c:x val="8.7407794014573548E-2"/>
          <c:y val="0.12003518151674583"/>
          <c:w val="0.91259220598542645"/>
          <c:h val="0.74103425397315226"/>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CDD2B4"/>
              </a:solidFill>
              <a:ln>
                <a:noFill/>
              </a:ln>
              <a:effectLst/>
            </c:spPr>
            <c:extLst>
              <c:ext xmlns:c16="http://schemas.microsoft.com/office/drawing/2014/chart" uri="{C3380CC4-5D6E-409C-BE32-E72D297353CC}">
                <c16:uniqueId val="{00000001-D354-450D-9F8A-526441EE907B}"/>
              </c:ext>
            </c:extLst>
          </c:dPt>
          <c:dPt>
            <c:idx val="1"/>
            <c:invertIfNegative val="0"/>
            <c:bubble3D val="0"/>
            <c:spPr>
              <a:solidFill>
                <a:srgbClr val="DCA591"/>
              </a:solidFill>
              <a:ln>
                <a:noFill/>
              </a:ln>
              <a:effectLst/>
            </c:spPr>
            <c:extLst>
              <c:ext xmlns:c16="http://schemas.microsoft.com/office/drawing/2014/chart" uri="{C3380CC4-5D6E-409C-BE32-E72D297353CC}">
                <c16:uniqueId val="{00000003-D354-450D-9F8A-526441EE907B}"/>
              </c:ext>
            </c:extLst>
          </c:dPt>
          <c:dPt>
            <c:idx val="2"/>
            <c:invertIfNegative val="0"/>
            <c:bubble3D val="0"/>
            <c:spPr>
              <a:solidFill>
                <a:srgbClr val="8CA0C3"/>
              </a:solidFill>
              <a:ln>
                <a:noFill/>
              </a:ln>
              <a:effectLst/>
            </c:spPr>
            <c:extLst>
              <c:ext xmlns:c16="http://schemas.microsoft.com/office/drawing/2014/chart" uri="{C3380CC4-5D6E-409C-BE32-E72D297353CC}">
                <c16:uniqueId val="{00000005-D354-450D-9F8A-526441EE907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Summary!$F$49:$F$51</c:f>
              <c:strCache>
                <c:ptCount val="3"/>
                <c:pt idx="0">
                  <c:v>Present Value (in 2021 EUR)</c:v>
                </c:pt>
                <c:pt idx="1">
                  <c:v>Project Costs discounted (in 2021 EUR)</c:v>
                </c:pt>
                <c:pt idx="2">
                  <c:v>Net Present Value (in 2021 EUR)</c:v>
                </c:pt>
              </c:strCache>
            </c:strRef>
          </c:cat>
          <c:val>
            <c:numRef>
              <c:f>Summary!$G$49:$G$51</c:f>
              <c:numCache>
                <c:formatCode>#,##0\ "€"</c:formatCode>
                <c:ptCount val="3"/>
                <c:pt idx="0">
                  <c:v>5403968.1074861009</c:v>
                </c:pt>
                <c:pt idx="1">
                  <c:v>2175868.1698130788</c:v>
                </c:pt>
                <c:pt idx="2">
                  <c:v>3228099.937673022</c:v>
                </c:pt>
              </c:numCache>
            </c:numRef>
          </c:val>
          <c:extLst>
            <c:ext xmlns:c16="http://schemas.microsoft.com/office/drawing/2014/chart" uri="{C3380CC4-5D6E-409C-BE32-E72D297353CC}">
              <c16:uniqueId val="{0000000A-D354-450D-9F8A-526441EE907B}"/>
            </c:ext>
          </c:extLst>
        </c:ser>
        <c:dLbls>
          <c:showLegendKey val="0"/>
          <c:showVal val="0"/>
          <c:showCatName val="0"/>
          <c:showSerName val="0"/>
          <c:showPercent val="0"/>
          <c:showBubbleSize val="0"/>
        </c:dLbls>
        <c:gapWidth val="100"/>
        <c:overlap val="-27"/>
        <c:axId val="843113504"/>
        <c:axId val="843114584"/>
      </c:barChart>
      <c:catAx>
        <c:axId val="843113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843114584"/>
        <c:crosses val="autoZero"/>
        <c:auto val="1"/>
        <c:lblAlgn val="ctr"/>
        <c:lblOffset val="100"/>
        <c:noMultiLvlLbl val="0"/>
      </c:catAx>
      <c:valAx>
        <c:axId val="843114584"/>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8431135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r>
              <a:rPr lang="en-US" sz="1400" b="1" i="0" u="none" strike="noStrike" kern="1200" spc="0" baseline="0">
                <a:solidFill>
                  <a:sysClr val="windowText" lastClr="000000"/>
                </a:solidFill>
                <a:latin typeface="Pero" panose="020F0506020203030304" pitchFamily="34" charset="0"/>
              </a:rPr>
              <a:t>Present Value vs. Costs per Household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CDD2B4"/>
              </a:solidFill>
              <a:ln>
                <a:noFill/>
              </a:ln>
              <a:effectLst/>
            </c:spPr>
            <c:extLst>
              <c:ext xmlns:c16="http://schemas.microsoft.com/office/drawing/2014/chart" uri="{C3380CC4-5D6E-409C-BE32-E72D297353CC}">
                <c16:uniqueId val="{00000001-B241-4E89-8F40-FA5F9E39D2AF}"/>
              </c:ext>
            </c:extLst>
          </c:dPt>
          <c:dPt>
            <c:idx val="1"/>
            <c:invertIfNegative val="0"/>
            <c:bubble3D val="0"/>
            <c:spPr>
              <a:solidFill>
                <a:srgbClr val="DCA591"/>
              </a:solidFill>
              <a:ln>
                <a:noFill/>
              </a:ln>
              <a:effectLst/>
            </c:spPr>
            <c:extLst>
              <c:ext xmlns:c16="http://schemas.microsoft.com/office/drawing/2014/chart" uri="{C3380CC4-5D6E-409C-BE32-E72D297353CC}">
                <c16:uniqueId val="{00000003-B241-4E89-8F40-FA5F9E39D2AF}"/>
              </c:ext>
            </c:extLst>
          </c:dPt>
          <c:dPt>
            <c:idx val="2"/>
            <c:invertIfNegative val="0"/>
            <c:bubble3D val="0"/>
            <c:spPr>
              <a:solidFill>
                <a:srgbClr val="8CA0C3"/>
              </a:solidFill>
              <a:ln>
                <a:noFill/>
              </a:ln>
              <a:effectLst/>
            </c:spPr>
            <c:extLst>
              <c:ext xmlns:c16="http://schemas.microsoft.com/office/drawing/2014/chart" uri="{C3380CC4-5D6E-409C-BE32-E72D297353CC}">
                <c16:uniqueId val="{00000005-D703-41CC-8A9D-FDE72B59B9C0}"/>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Summary!$B$49:$B$51</c:f>
              <c:strCache>
                <c:ptCount val="3"/>
                <c:pt idx="0">
                  <c:v>PV per HH</c:v>
                </c:pt>
                <c:pt idx="1">
                  <c:v>Costs per HH</c:v>
                </c:pt>
                <c:pt idx="2">
                  <c:v>NPV per HH</c:v>
                </c:pt>
              </c:strCache>
            </c:strRef>
          </c:cat>
          <c:val>
            <c:numRef>
              <c:f>Summary!$C$49:$C$51</c:f>
              <c:numCache>
                <c:formatCode>_-* #,##0\ [$€-407]_-;\-* #,##0\ [$€-407]_-;_-* "-"\ [$€-407]_-;_-@_-</c:formatCode>
                <c:ptCount val="3"/>
                <c:pt idx="0">
                  <c:v>667.15655647976553</c:v>
                </c:pt>
                <c:pt idx="1">
                  <c:v>268.62569997692333</c:v>
                </c:pt>
                <c:pt idx="2" formatCode="&quot;€&quot;#,##0_);\(&quot;€&quot;#,##0\)">
                  <c:v>398.5308565028422</c:v>
                </c:pt>
              </c:numCache>
            </c:numRef>
          </c:val>
          <c:extLst>
            <c:ext xmlns:c16="http://schemas.microsoft.com/office/drawing/2014/chart" uri="{C3380CC4-5D6E-409C-BE32-E72D297353CC}">
              <c16:uniqueId val="{00000008-B241-4E89-8F40-FA5F9E39D2AF}"/>
            </c:ext>
          </c:extLst>
        </c:ser>
        <c:dLbls>
          <c:showLegendKey val="0"/>
          <c:showVal val="0"/>
          <c:showCatName val="0"/>
          <c:showSerName val="0"/>
          <c:showPercent val="0"/>
          <c:showBubbleSize val="0"/>
        </c:dLbls>
        <c:gapWidth val="100"/>
        <c:axId val="1235029696"/>
        <c:axId val="1235044816"/>
      </c:barChart>
      <c:catAx>
        <c:axId val="123502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44816"/>
        <c:crosses val="autoZero"/>
        <c:auto val="1"/>
        <c:lblAlgn val="ctr"/>
        <c:lblOffset val="100"/>
        <c:noMultiLvlLbl val="0"/>
      </c:catAx>
      <c:valAx>
        <c:axId val="1235044816"/>
        <c:scaling>
          <c:orientation val="minMax"/>
        </c:scaling>
        <c:delete val="0"/>
        <c:axPos val="l"/>
        <c:majorGridlines>
          <c:spPr>
            <a:ln w="9525" cap="flat" cmpd="sng" algn="ctr">
              <a:solidFill>
                <a:schemeClr val="tx1">
                  <a:lumMod val="15000"/>
                  <a:lumOff val="85000"/>
                </a:schemeClr>
              </a:solidFill>
              <a:round/>
            </a:ln>
            <a:effectLst/>
          </c:spPr>
        </c:majorGridlines>
        <c:numFmt formatCode="_-* #,##0\ [$€-407]_-;\-* #,##0\ [$€-407]_-;_-* &quot;-&quot;\ [$€-407]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29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Pero" panose="020F05060202030303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3.pn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181074</xdr:colOff>
      <xdr:row>44</xdr:row>
      <xdr:rowOff>50288</xdr:rowOff>
    </xdr:from>
    <xdr:to>
      <xdr:col>10</xdr:col>
      <xdr:colOff>384915</xdr:colOff>
      <xdr:row>64</xdr:row>
      <xdr:rowOff>108857</xdr:rowOff>
    </xdr:to>
    <xdr:graphicFrame macro="">
      <xdr:nvGraphicFramePr>
        <xdr:cNvPr id="3" name="Chart 5">
          <a:extLst>
            <a:ext uri="{FF2B5EF4-FFF2-40B4-BE49-F238E27FC236}">
              <a16:creationId xmlns:a16="http://schemas.microsoft.com/office/drawing/2014/main" id="{0C4EE8FD-6C70-4A86-9DC3-759C046C1A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158541</xdr:colOff>
      <xdr:row>5</xdr:row>
      <xdr:rowOff>10933</xdr:rowOff>
    </xdr:from>
    <xdr:to>
      <xdr:col>11</xdr:col>
      <xdr:colOff>179001</xdr:colOff>
      <xdr:row>15</xdr:row>
      <xdr:rowOff>66675</xdr:rowOff>
    </xdr:to>
    <xdr:sp macro="" textlink="">
      <xdr:nvSpPr>
        <xdr:cNvPr id="4" name="TextBox 2">
          <a:extLst>
            <a:ext uri="{FF2B5EF4-FFF2-40B4-BE49-F238E27FC236}">
              <a16:creationId xmlns:a16="http://schemas.microsoft.com/office/drawing/2014/main" id="{579F6D4E-D274-4D06-9178-183C09486486}"/>
            </a:ext>
          </a:extLst>
        </xdr:cNvPr>
        <xdr:cNvSpPr txBox="1"/>
      </xdr:nvSpPr>
      <xdr:spPr>
        <a:xfrm>
          <a:off x="7788066" y="1430158"/>
          <a:ext cx="5440185" cy="2922767"/>
        </a:xfrm>
        <a:prstGeom prst="rect">
          <a:avLst/>
        </a:prstGeom>
        <a:solidFill>
          <a:sysClr val="window" lastClr="FFFFFF"/>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none" strike="noStrike" baseline="0">
              <a:solidFill>
                <a:schemeClr val="dk1"/>
              </a:solidFill>
              <a:latin typeface="Pero" panose="020F0506020203030304" pitchFamily="34" charset="0"/>
              <a:ea typeface="+mn-ea"/>
              <a:cs typeface="+mn-cs"/>
            </a:rPr>
            <a:t>HWG Summary/Interpretation: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The SROI forecast model is based on previous evaluation data </a:t>
          </a:r>
          <a:r>
            <a:rPr lang="en-US" sz="1100" b="0" i="0" baseline="0">
              <a:solidFill>
                <a:schemeClr val="dk1"/>
              </a:solidFill>
              <a:effectLst/>
              <a:latin typeface="Pero" panose="020F0506020203030304" pitchFamily="34" charset="0"/>
              <a:ea typeface="+mn-ea"/>
              <a:cs typeface="+mn-cs"/>
            </a:rPr>
            <a:t>data from Village Enterprise RCTs</a:t>
          </a: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 It estimates</a:t>
          </a:r>
          <a:r>
            <a:rPr kumimoji="0" lang="en-US" sz="1000" b="1" i="0" u="none" strike="noStrike" kern="0" cap="none" spc="0" normalizeH="0" baseline="0" noProof="0">
              <a:ln>
                <a:noFill/>
              </a:ln>
              <a:solidFill>
                <a:prstClr val="black"/>
              </a:solidFill>
              <a:effectLst/>
              <a:uLnTx/>
              <a:uFillTx/>
              <a:latin typeface="Pero" panose="020F0506020203030304" pitchFamily="34" charset="0"/>
              <a:ea typeface="+mn-ea"/>
              <a:cs typeface="+mn-cs"/>
            </a:rPr>
            <a:t> total benefits of ca. 4,6 Mio € and compares them to the implementation costs of ca. 2,2 Mio € </a:t>
          </a: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(values are discounted and deflated to real 2021 €).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The preliminary </a:t>
          </a:r>
          <a:r>
            <a:rPr kumimoji="0" lang="en-US" sz="1000" b="1" i="0" u="none" strike="noStrike" kern="0" cap="none" spc="0" normalizeH="0" baseline="0" noProof="0">
              <a:ln>
                <a:noFill/>
              </a:ln>
              <a:solidFill>
                <a:prstClr val="black"/>
              </a:solidFill>
              <a:effectLst/>
              <a:uLnTx/>
              <a:uFillTx/>
              <a:latin typeface="Pero" panose="020F0506020203030304" pitchFamily="34" charset="0"/>
              <a:ea typeface="+mn-ea"/>
              <a:cs typeface="+mn-cs"/>
            </a:rPr>
            <a:t>SROI result of 2,5 </a:t>
          </a: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shows that under the current assumptions, income effects achieved by the project will outperform the project investment after 3 years.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The estimated income impacts are based an RCT conducted in Uganda and Kenya in 2021 that found a 7%  increase in consumption for Village Enterprise poverty graduation participants vs. control, as well as annual consumption data collected in Jimma region in 2023 as part of the Baseline data collection for a rigorous impact evaluation of another program financed by HWG.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A recent RCT of VE's graduation program in Uganda in 2026 showed a relative income increase of 17% which would result in a signficiantly higher </a:t>
          </a:r>
          <a:r>
            <a:rPr kumimoji="0" lang="en-US" sz="1000" b="1" i="0" u="none" strike="noStrike" kern="0" cap="none" spc="0" normalizeH="0" baseline="0" noProof="0">
              <a:ln>
                <a:noFill/>
              </a:ln>
              <a:solidFill>
                <a:prstClr val="black"/>
              </a:solidFill>
              <a:effectLst/>
              <a:uLnTx/>
              <a:uFillTx/>
              <a:latin typeface="Pero" panose="020F0506020203030304" pitchFamily="34" charset="0"/>
              <a:ea typeface="+mn-ea"/>
              <a:cs typeface="+mn-cs"/>
            </a:rPr>
            <a:t>SROI of 6,0</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The sensitivity analysis shows that the program will likely break even: even under </a:t>
          </a:r>
          <a:r>
            <a:rPr kumimoji="0" lang="en-US" sz="1000" b="1" i="0" u="none" strike="noStrike" kern="0" cap="none" spc="0" normalizeH="0" baseline="0" noProof="0">
              <a:ln>
                <a:noFill/>
              </a:ln>
              <a:solidFill>
                <a:prstClr val="black"/>
              </a:solidFill>
              <a:effectLst/>
              <a:uLnTx/>
              <a:uFillTx/>
              <a:latin typeface="Pero" panose="020F0506020203030304" pitchFamily="34" charset="0"/>
              <a:ea typeface="+mn-ea"/>
              <a:cs typeface="+mn-cs"/>
            </a:rPr>
            <a:t>conservative assumptions, the SROI stays mostly above 1. However, due to the high costs per participating households there is a risk of no break-even under the most conservative assumptions. </a:t>
          </a:r>
          <a:r>
            <a:rPr kumimoji="0" lang="en-US" sz="1000" b="0" i="0" u="none" strike="noStrike" kern="0" cap="none" spc="0" normalizeH="0" baseline="0" noProof="0">
              <a:ln>
                <a:noFill/>
              </a:ln>
              <a:solidFill>
                <a:prstClr val="black"/>
              </a:solidFill>
              <a:effectLst/>
              <a:uLnTx/>
              <a:uFillTx/>
              <a:latin typeface="Pero" panose="020F0506020203030304" pitchFamily="34" charset="0"/>
              <a:ea typeface="+mn-ea"/>
              <a:cs typeface="+mn-cs"/>
            </a:rPr>
            <a:t>Under a more optimistic scenario substantiated by recent studies, the SROI could increase substantially to above 5. </a:t>
          </a:r>
        </a:p>
      </xdr:txBody>
    </xdr:sp>
    <xdr:clientData/>
  </xdr:twoCellAnchor>
  <xdr:twoCellAnchor>
    <xdr:from>
      <xdr:col>0</xdr:col>
      <xdr:colOff>277631</xdr:colOff>
      <xdr:row>44</xdr:row>
      <xdr:rowOff>38370</xdr:rowOff>
    </xdr:from>
    <xdr:to>
      <xdr:col>3</xdr:col>
      <xdr:colOff>27926</xdr:colOff>
      <xdr:row>64</xdr:row>
      <xdr:rowOff>29812</xdr:rowOff>
    </xdr:to>
    <xdr:graphicFrame macro="">
      <xdr:nvGraphicFramePr>
        <xdr:cNvPr id="2" name="Chart 7">
          <a:extLst>
            <a:ext uri="{FF2B5EF4-FFF2-40B4-BE49-F238E27FC236}">
              <a16:creationId xmlns:a16="http://schemas.microsoft.com/office/drawing/2014/main" id="{0AD08FCC-103F-4882-A83B-DDFCD7116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228257</xdr:colOff>
      <xdr:row>18</xdr:row>
      <xdr:rowOff>226283</xdr:rowOff>
    </xdr:from>
    <xdr:to>
      <xdr:col>11</xdr:col>
      <xdr:colOff>87785</xdr:colOff>
      <xdr:row>26</xdr:row>
      <xdr:rowOff>125506</xdr:rowOff>
    </xdr:to>
    <xdr:sp macro="" textlink="">
      <xdr:nvSpPr>
        <xdr:cNvPr id="5" name="TextBox 2">
          <a:extLst>
            <a:ext uri="{FF2B5EF4-FFF2-40B4-BE49-F238E27FC236}">
              <a16:creationId xmlns:a16="http://schemas.microsoft.com/office/drawing/2014/main" id="{B4B51E26-3323-4ADD-94D6-04120F376EA1}"/>
            </a:ext>
          </a:extLst>
        </xdr:cNvPr>
        <xdr:cNvSpPr txBox="1"/>
      </xdr:nvSpPr>
      <xdr:spPr>
        <a:xfrm>
          <a:off x="6762407" y="5131658"/>
          <a:ext cx="6374628" cy="1870898"/>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i="0" u="none" strike="noStrike" baseline="0">
              <a:solidFill>
                <a:schemeClr val="dk1"/>
              </a:solidFill>
              <a:latin typeface="Pero" panose="020F0506020203030304" pitchFamily="34" charset="0"/>
              <a:ea typeface="+mn-ea"/>
              <a:cs typeface="+mn-cs"/>
            </a:rPr>
            <a:t>*Level of certainty:  Medium</a:t>
          </a:r>
          <a:endParaRPr lang="en-US" sz="1100" b="0" i="0" u="none" strike="noStrike" baseline="0">
            <a:solidFill>
              <a:schemeClr val="dk1"/>
            </a:solidFill>
            <a:latin typeface="Pero" panose="020F05060202030303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sng" strike="noStrike" kern="0" cap="none" spc="0" normalizeH="0" baseline="0" noProof="0">
              <a:ln>
                <a:noFill/>
              </a:ln>
              <a:solidFill>
                <a:prstClr val="black"/>
              </a:solidFill>
              <a:effectLst/>
              <a:uLnTx/>
              <a:uFillTx/>
              <a:latin typeface="Pero" panose="020F0506020203030304" pitchFamily="34" charset="0"/>
              <a:ea typeface="+mn-ea"/>
              <a:cs typeface="+mn-cs"/>
            </a:rPr>
            <a:t>Evidence strength</a:t>
          </a: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 Direct measurement of household consumption expenditure. </a:t>
          </a:r>
          <a:b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b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Rigorous experimental/quasi-experimental design with strong causal identification.</a:t>
          </a:r>
          <a:b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b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Impact estimates from households in East Africa with validated external validity.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sng" strike="noStrike" kern="0" cap="none" spc="0" normalizeH="0" baseline="0" noProof="0">
              <a:ln>
                <a:noFill/>
              </a:ln>
              <a:solidFill>
                <a:prstClr val="black"/>
              </a:solidFill>
              <a:effectLst/>
              <a:uLnTx/>
              <a:uFillTx/>
              <a:latin typeface="Pero" panose="020F0506020203030304" pitchFamily="34" charset="0"/>
              <a:ea typeface="+mn-ea"/>
              <a:cs typeface="+mn-cs"/>
            </a:rPr>
            <a:t>Precision of impact estimates</a:t>
          </a: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 Income estimates significant at 5% (p&lt;0.05) with narrow confidence intervals (i.e., CI width &lt; 31% of the point estimate).</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sng" strike="noStrike" kern="0" cap="none" spc="0" normalizeH="0" baseline="0" noProof="0">
              <a:ln>
                <a:noFill/>
              </a:ln>
              <a:solidFill>
                <a:prstClr val="black"/>
              </a:solidFill>
              <a:effectLst/>
              <a:uLnTx/>
              <a:uFillTx/>
              <a:latin typeface="Pero" panose="020F0506020203030304" pitchFamily="34" charset="0"/>
              <a:ea typeface="+mn-ea"/>
              <a:cs typeface="+mn-cs"/>
            </a:rPr>
            <a:t>Assumptions</a:t>
          </a: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 Some substantiated assumptions (with some form of support based on available evidence or logical reasoning).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sng" strike="noStrike" kern="0" cap="none" spc="0" normalizeH="0" baseline="0" noProof="0">
              <a:ln>
                <a:noFill/>
              </a:ln>
              <a:solidFill>
                <a:prstClr val="black"/>
              </a:solidFill>
              <a:effectLst/>
              <a:uLnTx/>
              <a:uFillTx/>
              <a:latin typeface="Pero" panose="020F0506020203030304" pitchFamily="34" charset="0"/>
              <a:ea typeface="+mn-ea"/>
              <a:cs typeface="+mn-cs"/>
            </a:rPr>
            <a:t>Sensitivity</a:t>
          </a: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 SROI values are moderately sensitive to key parameters. Reasonable variation in inputs leads to noticeable but not decision-changing shifts in ROI.</a:t>
          </a:r>
        </a:p>
      </xdr:txBody>
    </xdr:sp>
    <xdr:clientData/>
  </xdr:twoCellAnchor>
  <xdr:twoCellAnchor>
    <xdr:from>
      <xdr:col>3</xdr:col>
      <xdr:colOff>200798</xdr:colOff>
      <xdr:row>31</xdr:row>
      <xdr:rowOff>3520</xdr:rowOff>
    </xdr:from>
    <xdr:to>
      <xdr:col>11</xdr:col>
      <xdr:colOff>72081</xdr:colOff>
      <xdr:row>34</xdr:row>
      <xdr:rowOff>152571</xdr:rowOff>
    </xdr:to>
    <xdr:sp macro="" textlink="">
      <xdr:nvSpPr>
        <xdr:cNvPr id="6" name="TextBox 2">
          <a:extLst>
            <a:ext uri="{FF2B5EF4-FFF2-40B4-BE49-F238E27FC236}">
              <a16:creationId xmlns:a16="http://schemas.microsoft.com/office/drawing/2014/main" id="{99F267E8-38ED-405B-A8D5-74227518BE0C}"/>
            </a:ext>
          </a:extLst>
        </xdr:cNvPr>
        <xdr:cNvSpPr txBox="1"/>
      </xdr:nvSpPr>
      <xdr:spPr>
        <a:xfrm>
          <a:off x="6734948" y="8080720"/>
          <a:ext cx="6386383" cy="720551"/>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i="0" u="none" strike="noStrike" baseline="0">
              <a:solidFill>
                <a:schemeClr val="dk1"/>
              </a:solidFill>
              <a:latin typeface="Pero" panose="020F0506020203030304" pitchFamily="34" charset="0"/>
              <a:ea typeface="+mn-ea"/>
              <a:cs typeface="+mn-cs"/>
            </a:rPr>
            <a:t>*Methodological rigor: Excellent</a:t>
          </a:r>
          <a:r>
            <a:rPr lang="en-US" sz="1100" b="0" i="0" u="none" strike="noStrike" baseline="0">
              <a:solidFill>
                <a:schemeClr val="dk1"/>
              </a:solidFill>
              <a:latin typeface="Pero" panose="020F0506020203030304" pitchFamily="34" charset="0"/>
              <a:ea typeface="+mn-ea"/>
              <a:cs typeface="+mn-cs"/>
            </a:rPr>
            <a:t>	</a:t>
          </a:r>
        </a:p>
        <a:p>
          <a:pPr algn="l"/>
          <a:r>
            <a:rPr lang="en-US" sz="1100" b="0" i="0" baseline="0">
              <a:solidFill>
                <a:schemeClr val="dk1"/>
              </a:solidFill>
              <a:effectLst/>
              <a:latin typeface="Pero" panose="020F0506020203030304" pitchFamily="34" charset="0"/>
              <a:ea typeface="+mn-ea"/>
              <a:cs typeface="+mn-cs"/>
            </a:rPr>
            <a:t>Rigorous design with well-documented, robust methods that effectively address potential biases and support strong causal inferences.</a:t>
          </a:r>
          <a:endParaRPr lang="en-US" sz="1100" b="0" i="0" u="none" strike="noStrike" baseline="0">
            <a:solidFill>
              <a:schemeClr val="dk1"/>
            </a:solidFill>
            <a:latin typeface="Pero" panose="020F0506020203030304" pitchFamily="34" charset="0"/>
            <a:ea typeface="+mn-ea"/>
            <a:cs typeface="+mn-cs"/>
          </a:endParaRPr>
        </a:p>
      </xdr:txBody>
    </xdr:sp>
    <xdr:clientData/>
  </xdr:twoCellAnchor>
  <xdr:twoCellAnchor editAs="oneCell">
    <xdr:from>
      <xdr:col>4</xdr:col>
      <xdr:colOff>117929</xdr:colOff>
      <xdr:row>0</xdr:row>
      <xdr:rowOff>78907</xdr:rowOff>
    </xdr:from>
    <xdr:to>
      <xdr:col>6</xdr:col>
      <xdr:colOff>332619</xdr:colOff>
      <xdr:row>2</xdr:row>
      <xdr:rowOff>217715</xdr:rowOff>
    </xdr:to>
    <xdr:pic>
      <xdr:nvPicPr>
        <xdr:cNvPr id="7" name="Picture 6">
          <a:extLst>
            <a:ext uri="{FF2B5EF4-FFF2-40B4-BE49-F238E27FC236}">
              <a16:creationId xmlns:a16="http://schemas.microsoft.com/office/drawing/2014/main" id="{1EADED60-7D44-1F0D-C3BB-B7D9F4A77620}"/>
            </a:ext>
          </a:extLst>
        </xdr:cNvPr>
        <xdr:cNvPicPr>
          <a:picLocks noChangeAspect="1"/>
        </xdr:cNvPicPr>
      </xdr:nvPicPr>
      <xdr:blipFill rotWithShape="1">
        <a:blip xmlns:r="http://schemas.openxmlformats.org/officeDocument/2006/relationships" r:embed="rId3"/>
        <a:srcRect t="12539" b="14690"/>
        <a:stretch>
          <a:fillRect/>
        </a:stretch>
      </xdr:blipFill>
      <xdr:spPr>
        <a:xfrm>
          <a:off x="7338786" y="78907"/>
          <a:ext cx="2633587" cy="752944"/>
        </a:xfrm>
        <a:prstGeom prst="rect">
          <a:avLst/>
        </a:prstGeom>
      </xdr:spPr>
    </xdr:pic>
    <xdr:clientData/>
  </xdr:twoCellAnchor>
  <xdr:twoCellAnchor editAs="oneCell">
    <xdr:from>
      <xdr:col>6</xdr:col>
      <xdr:colOff>457200</xdr:colOff>
      <xdr:row>0</xdr:row>
      <xdr:rowOff>182337</xdr:rowOff>
    </xdr:from>
    <xdr:to>
      <xdr:col>9</xdr:col>
      <xdr:colOff>54883</xdr:colOff>
      <xdr:row>2</xdr:row>
      <xdr:rowOff>130630</xdr:rowOff>
    </xdr:to>
    <xdr:pic>
      <xdr:nvPicPr>
        <xdr:cNvPr id="8" name="Picture 7">
          <a:extLst>
            <a:ext uri="{FF2B5EF4-FFF2-40B4-BE49-F238E27FC236}">
              <a16:creationId xmlns:a16="http://schemas.microsoft.com/office/drawing/2014/main" id="{34D6F093-4161-E94C-B0DA-B054D29A9786}"/>
            </a:ext>
          </a:extLst>
        </xdr:cNvPr>
        <xdr:cNvPicPr>
          <a:picLocks noChangeAspect="1"/>
        </xdr:cNvPicPr>
      </xdr:nvPicPr>
      <xdr:blipFill>
        <a:blip xmlns:r="http://schemas.openxmlformats.org/officeDocument/2006/relationships" r:embed="rId4"/>
        <a:stretch>
          <a:fillRect/>
        </a:stretch>
      </xdr:blipFill>
      <xdr:spPr>
        <a:xfrm>
          <a:off x="10100129" y="182337"/>
          <a:ext cx="1490437" cy="556079"/>
        </a:xfrm>
        <a:prstGeom prst="rect">
          <a:avLst/>
        </a:prstGeom>
      </xdr:spPr>
    </xdr:pic>
    <xdr:clientData/>
  </xdr:twoCellAnchor>
  <xdr:twoCellAnchor editAs="oneCell">
    <xdr:from>
      <xdr:col>9</xdr:col>
      <xdr:colOff>67129</xdr:colOff>
      <xdr:row>0</xdr:row>
      <xdr:rowOff>182336</xdr:rowOff>
    </xdr:from>
    <xdr:to>
      <xdr:col>10</xdr:col>
      <xdr:colOff>408565</xdr:colOff>
      <xdr:row>2</xdr:row>
      <xdr:rowOff>181881</xdr:rowOff>
    </xdr:to>
    <xdr:pic>
      <xdr:nvPicPr>
        <xdr:cNvPr id="9" name="Picture 8">
          <a:extLst>
            <a:ext uri="{FF2B5EF4-FFF2-40B4-BE49-F238E27FC236}">
              <a16:creationId xmlns:a16="http://schemas.microsoft.com/office/drawing/2014/main" id="{A20851BC-38D7-58DD-8248-796623B9FCAE}"/>
            </a:ext>
          </a:extLst>
        </xdr:cNvPr>
        <xdr:cNvPicPr>
          <a:picLocks noChangeAspect="1"/>
        </xdr:cNvPicPr>
      </xdr:nvPicPr>
      <xdr:blipFill>
        <a:blip xmlns:r="http://schemas.openxmlformats.org/officeDocument/2006/relationships" r:embed="rId5"/>
        <a:stretch>
          <a:fillRect/>
        </a:stretch>
      </xdr:blipFill>
      <xdr:spPr>
        <a:xfrm>
          <a:off x="11605986" y="182336"/>
          <a:ext cx="928357" cy="6009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230363</xdr:colOff>
      <xdr:row>2</xdr:row>
      <xdr:rowOff>85018</xdr:rowOff>
    </xdr:from>
    <xdr:to>
      <xdr:col>12</xdr:col>
      <xdr:colOff>159572</xdr:colOff>
      <xdr:row>24</xdr:row>
      <xdr:rowOff>65969</xdr:rowOff>
    </xdr:to>
    <xdr:pic>
      <xdr:nvPicPr>
        <xdr:cNvPr id="3" name="Picture 2">
          <a:extLst>
            <a:ext uri="{FF2B5EF4-FFF2-40B4-BE49-F238E27FC236}">
              <a16:creationId xmlns:a16="http://schemas.microsoft.com/office/drawing/2014/main" id="{ACFDE2A7-61A9-6821-E7C1-0A8FA85C8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363" y="520111"/>
          <a:ext cx="7408098" cy="4120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403601</xdr:colOff>
      <xdr:row>54</xdr:row>
      <xdr:rowOff>177584</xdr:rowOff>
    </xdr:from>
    <xdr:to>
      <xdr:col>16</xdr:col>
      <xdr:colOff>177584</xdr:colOff>
      <xdr:row>86</xdr:row>
      <xdr:rowOff>182299</xdr:rowOff>
    </xdr:to>
    <xdr:pic>
      <xdr:nvPicPr>
        <xdr:cNvPr id="2" name="Picture 1">
          <a:extLst>
            <a:ext uri="{FF2B5EF4-FFF2-40B4-BE49-F238E27FC236}">
              <a16:creationId xmlns:a16="http://schemas.microsoft.com/office/drawing/2014/main" id="{92375769-B107-1EE0-B1E3-969E5F35D6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3601" y="10784237"/>
          <a:ext cx="9847881" cy="62040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64577</xdr:colOff>
      <xdr:row>27</xdr:row>
      <xdr:rowOff>96866</xdr:rowOff>
    </xdr:from>
    <xdr:to>
      <xdr:col>16</xdr:col>
      <xdr:colOff>497366</xdr:colOff>
      <xdr:row>51</xdr:row>
      <xdr:rowOff>48433</xdr:rowOff>
    </xdr:to>
    <xdr:pic>
      <xdr:nvPicPr>
        <xdr:cNvPr id="5" name="Picture 4">
          <a:extLst>
            <a:ext uri="{FF2B5EF4-FFF2-40B4-BE49-F238E27FC236}">
              <a16:creationId xmlns:a16="http://schemas.microsoft.com/office/drawing/2014/main" id="{1E5F45A2-0914-FDA4-14A4-496105587D65}"/>
            </a:ext>
          </a:extLst>
        </xdr:cNvPr>
        <xdr:cNvPicPr>
          <a:picLocks noChangeAspect="1"/>
        </xdr:cNvPicPr>
      </xdr:nvPicPr>
      <xdr:blipFill>
        <a:blip xmlns:r="http://schemas.openxmlformats.org/officeDocument/2006/relationships" r:embed="rId3"/>
        <a:stretch>
          <a:fillRect/>
        </a:stretch>
      </xdr:blipFill>
      <xdr:spPr>
        <a:xfrm>
          <a:off x="64577" y="5424408"/>
          <a:ext cx="10506687" cy="46010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146050</xdr:colOff>
      <xdr:row>19</xdr:row>
      <xdr:rowOff>120650</xdr:rowOff>
    </xdr:from>
    <xdr:to>
      <xdr:col>14</xdr:col>
      <xdr:colOff>342900</xdr:colOff>
      <xdr:row>24</xdr:row>
      <xdr:rowOff>149915</xdr:rowOff>
    </xdr:to>
    <xdr:sp macro="" textlink="">
      <xdr:nvSpPr>
        <xdr:cNvPr id="8" name="TextBox 2">
          <a:extLst>
            <a:ext uri="{FF2B5EF4-FFF2-40B4-BE49-F238E27FC236}">
              <a16:creationId xmlns:a16="http://schemas.microsoft.com/office/drawing/2014/main" id="{C190749D-A620-41BB-9C04-1FB8AE1920F0}"/>
            </a:ext>
          </a:extLst>
        </xdr:cNvPr>
        <xdr:cNvSpPr txBox="1"/>
      </xdr:nvSpPr>
      <xdr:spPr>
        <a:xfrm>
          <a:off x="146050" y="4435475"/>
          <a:ext cx="8197850" cy="98176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*Methodological rigor: </a:t>
          </a:r>
          <a:endParaRPr lang="en-US" sz="1050" b="0" i="0" u="none" strike="noStrike" baseline="0">
            <a:solidFill>
              <a:schemeClr val="dk1"/>
            </a:solidFill>
            <a:latin typeface="Pero" panose="020F0506020203030304" pitchFamily="34" charset="0"/>
            <a:ea typeface="+mn-ea"/>
            <a:cs typeface="+mn-cs"/>
          </a:endParaRPr>
        </a:p>
        <a:p>
          <a:r>
            <a:rPr lang="en-US" sz="1050" b="0" i="0" u="none" strike="noStrike" baseline="0">
              <a:solidFill>
                <a:schemeClr val="dk1"/>
              </a:solidFill>
              <a:latin typeface="Pero" panose="020F0506020203030304" pitchFamily="34" charset="0"/>
              <a:ea typeface="+mn-ea"/>
              <a:cs typeface="+mn-cs"/>
            </a:rPr>
            <a:t>Fair	Design and methods have significant limitations that reduce confidence in causal claims.</a:t>
          </a:r>
        </a:p>
        <a:p>
          <a:r>
            <a:rPr lang="en-US" sz="1050" b="0" i="0" u="none" strike="noStrike" baseline="0">
              <a:solidFill>
                <a:schemeClr val="dk1"/>
              </a:solidFill>
              <a:latin typeface="Pero" panose="020F0506020203030304" pitchFamily="34" charset="0"/>
              <a:ea typeface="+mn-ea"/>
              <a:cs typeface="+mn-cs"/>
            </a:rPr>
            <a:t>Good	Design is generally appropriate, with clear and justified sampling and analytical methods, though some limitations remain</a:t>
          </a:r>
        </a:p>
        <a:p>
          <a:r>
            <a:rPr lang="en-US" sz="1050" b="0" i="0" u="none" strike="noStrike" baseline="0">
              <a:solidFill>
                <a:schemeClr val="dk1"/>
              </a:solidFill>
              <a:latin typeface="Pero" panose="020F0506020203030304" pitchFamily="34" charset="0"/>
              <a:ea typeface="+mn-ea"/>
              <a:cs typeface="+mn-cs"/>
            </a:rPr>
            <a:t>Excellent	Rigorous design with well-documented, robust methods that effectively address potential biases and support strong causal 	inferences</a:t>
          </a:r>
          <a:r>
            <a:rPr lang="en-US" sz="1100" b="0" i="0" baseline="0">
              <a:solidFill>
                <a:schemeClr val="dk1"/>
              </a:solidFill>
              <a:effectLst/>
              <a:latin typeface="+mn-lt"/>
              <a:ea typeface="+mn-ea"/>
              <a:cs typeface="+mn-cs"/>
            </a:rPr>
            <a:t>.</a:t>
          </a:r>
          <a:endParaRPr lang="en-US" sz="1050">
            <a:effectLst/>
          </a:endParaRPr>
        </a:p>
      </xdr:txBody>
    </xdr:sp>
    <xdr:clientData/>
  </xdr:twoCellAnchor>
  <xdr:twoCellAnchor>
    <xdr:from>
      <xdr:col>0</xdr:col>
      <xdr:colOff>142875</xdr:colOff>
      <xdr:row>25</xdr:row>
      <xdr:rowOff>53975</xdr:rowOff>
    </xdr:from>
    <xdr:to>
      <xdr:col>14</xdr:col>
      <xdr:colOff>352425</xdr:colOff>
      <xdr:row>32</xdr:row>
      <xdr:rowOff>38100</xdr:rowOff>
    </xdr:to>
    <xdr:sp macro="" textlink="">
      <xdr:nvSpPr>
        <xdr:cNvPr id="4" name="TextBox 3">
          <a:extLst>
            <a:ext uri="{FF2B5EF4-FFF2-40B4-BE49-F238E27FC236}">
              <a16:creationId xmlns:a16="http://schemas.microsoft.com/office/drawing/2014/main" id="{0CD06DC2-115B-4C5E-A3DF-C35B54EA1502}"/>
            </a:ext>
          </a:extLst>
        </xdr:cNvPr>
        <xdr:cNvSpPr txBox="1"/>
      </xdr:nvSpPr>
      <xdr:spPr>
        <a:xfrm>
          <a:off x="142875" y="5511800"/>
          <a:ext cx="8210550" cy="1317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Pero" panose="020F0506020203030304" pitchFamily="34" charset="0"/>
              <a:ea typeface="+mn-ea"/>
              <a:cs typeface="+mn-cs"/>
            </a:rPr>
            <a:t>*Discount</a:t>
          </a:r>
          <a:r>
            <a:rPr lang="en-US" sz="1000" b="1" baseline="0">
              <a:solidFill>
                <a:schemeClr val="dk1"/>
              </a:solidFill>
              <a:effectLst/>
              <a:latin typeface="Pero" panose="020F0506020203030304" pitchFamily="34" charset="0"/>
              <a:ea typeface="+mn-ea"/>
              <a:cs typeface="+mn-cs"/>
            </a:rPr>
            <a:t> rates</a:t>
          </a:r>
          <a:r>
            <a:rPr lang="en-US" sz="1000">
              <a:solidFill>
                <a:schemeClr val="dk1"/>
              </a:solidFill>
              <a:effectLst/>
              <a:latin typeface="Pero" panose="020F0506020203030304" pitchFamily="34" charset="0"/>
              <a:ea typeface="+mn-ea"/>
              <a:cs typeface="+mn-cs"/>
            </a:rPr>
            <a:t>:</a:t>
          </a:r>
          <a:r>
            <a:rPr lang="en-US" sz="1000" baseline="0">
              <a:solidFill>
                <a:schemeClr val="dk1"/>
              </a:solidFill>
              <a:effectLst/>
              <a:latin typeface="Pero" panose="020F0506020203030304" pitchFamily="34" charset="0"/>
              <a:ea typeface="+mn-ea"/>
              <a:cs typeface="+mn-cs"/>
            </a:rPr>
            <a:t> </a:t>
          </a:r>
          <a:r>
            <a:rPr lang="en-US" sz="1000">
              <a:solidFill>
                <a:schemeClr val="dk1"/>
              </a:solidFill>
              <a:effectLst/>
              <a:latin typeface="Pero" panose="020F0506020203030304" pitchFamily="34" charset="0"/>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Pero" panose="020F0506020203030304" pitchFamily="34" charset="0"/>
              <a:ea typeface="+mn-ea"/>
              <a:cs typeface="+mn-cs"/>
            </a:rPr>
            <a:t>Looking at the median discount rate, calculated based on the SOC, across countries suggests that anything between 10-12 percent is a reasonable rate for discounting the costs and benefits of rural livelihoods programs in developing countries. We've chosen to set the discount rate to 10 percent to ensure consistency across all programs in the analysis. (For a list of discount rates used by various governments and organizations, see Table 2 of Dhaliwal et al., 2013.)</a:t>
          </a:r>
        </a:p>
        <a:p>
          <a:r>
            <a:rPr lang="en-US" sz="1000">
              <a:solidFill>
                <a:schemeClr val="dk1"/>
              </a:solidFill>
              <a:effectLst/>
              <a:latin typeface="Pero" panose="020F0506020203030304" pitchFamily="34" charset="0"/>
              <a:ea typeface="+mn-ea"/>
              <a:cs typeface="+mn-cs"/>
            </a:rPr>
            <a:t> </a:t>
          </a:r>
        </a:p>
      </xdr:txBody>
    </xdr:sp>
    <xdr:clientData/>
  </xdr:twoCellAnchor>
  <xdr:twoCellAnchor>
    <xdr:from>
      <xdr:col>0</xdr:col>
      <xdr:colOff>136524</xdr:colOff>
      <xdr:row>32</xdr:row>
      <xdr:rowOff>123827</xdr:rowOff>
    </xdr:from>
    <xdr:to>
      <xdr:col>14</xdr:col>
      <xdr:colOff>371475</xdr:colOff>
      <xdr:row>37</xdr:row>
      <xdr:rowOff>123825</xdr:rowOff>
    </xdr:to>
    <xdr:sp macro="" textlink="">
      <xdr:nvSpPr>
        <xdr:cNvPr id="6" name="TextBox 5">
          <a:extLst>
            <a:ext uri="{FF2B5EF4-FFF2-40B4-BE49-F238E27FC236}">
              <a16:creationId xmlns:a16="http://schemas.microsoft.com/office/drawing/2014/main" id="{AD2F7521-9663-4F9B-8FC0-F310257D73F2}"/>
            </a:ext>
          </a:extLst>
        </xdr:cNvPr>
        <xdr:cNvSpPr txBox="1"/>
      </xdr:nvSpPr>
      <xdr:spPr>
        <a:xfrm>
          <a:off x="136524" y="6915152"/>
          <a:ext cx="8235951" cy="95249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*Inflation</a:t>
          </a:r>
          <a:r>
            <a:rPr lang="en-US" sz="1050" b="1" baseline="0">
              <a:solidFill>
                <a:schemeClr val="dk1"/>
              </a:solidFill>
              <a:effectLst/>
              <a:latin typeface="Pero" panose="020F0506020203030304" pitchFamily="34" charset="0"/>
              <a:ea typeface="+mn-ea"/>
              <a:cs typeface="+mn-cs"/>
            </a:rPr>
            <a:t>: </a:t>
          </a:r>
          <a:r>
            <a:rPr kumimoji="0" lang="en-US" sz="1050" b="0" i="0" u="none" strike="noStrike" kern="0" cap="none" spc="0" normalizeH="0" baseline="0" noProof="0">
              <a:ln>
                <a:noFill/>
              </a:ln>
              <a:solidFill>
                <a:prstClr val="black"/>
              </a:solidFill>
              <a:effectLst/>
              <a:uLnTx/>
              <a:uFillTx/>
              <a:latin typeface="Pero" panose="020F0506020203030304" pitchFamily="34" charset="0"/>
              <a:ea typeface="+mn-ea"/>
              <a:cs typeface="+mn-cs"/>
            </a:rPr>
            <a:t>We present cash flows in real values, deflating coffee prices and labor costs (for the calculation of profits from coffee) as well as project costs back to real value in base year 2025, using average annual LCU inflation rate over time elapsed between base year and the incurrence of benefits/costs. We take the present value of these cash flows and then inflate forward to the year of analysis (2021), using average annual LCU inflation rate over time elapsed between base year and year of analysis. We selected 2021 as year of analysis because it aligns with the latest international poverty line and purchasing power parity (PPP) update (World Bank Group 2025).</a:t>
          </a:r>
          <a:endParaRPr lang="en-US" sz="1050" b="0">
            <a:solidFill>
              <a:schemeClr val="dk1"/>
            </a:solidFill>
            <a:effectLst/>
            <a:latin typeface="Pero" panose="020F0506020203030304" pitchFamily="34" charset="0"/>
            <a:ea typeface="+mn-ea"/>
            <a:cs typeface="+mn-cs"/>
          </a:endParaRPr>
        </a:p>
      </xdr:txBody>
    </xdr:sp>
    <xdr:clientData/>
  </xdr:twoCellAnchor>
  <xdr:twoCellAnchor>
    <xdr:from>
      <xdr:col>0</xdr:col>
      <xdr:colOff>139700</xdr:colOff>
      <xdr:row>0</xdr:row>
      <xdr:rowOff>50801</xdr:rowOff>
    </xdr:from>
    <xdr:to>
      <xdr:col>14</xdr:col>
      <xdr:colOff>352425</xdr:colOff>
      <xdr:row>19</xdr:row>
      <xdr:rowOff>41414</xdr:rowOff>
    </xdr:to>
    <xdr:sp macro="" textlink="">
      <xdr:nvSpPr>
        <xdr:cNvPr id="2" name="TextBox 2">
          <a:extLst>
            <a:ext uri="{FF2B5EF4-FFF2-40B4-BE49-F238E27FC236}">
              <a16:creationId xmlns:a16="http://schemas.microsoft.com/office/drawing/2014/main" id="{4508D6B2-6733-44D3-84DA-DA3B0672C77A}"/>
            </a:ext>
          </a:extLst>
        </xdr:cNvPr>
        <xdr:cNvSpPr txBox="1"/>
      </xdr:nvSpPr>
      <xdr:spPr>
        <a:xfrm>
          <a:off x="139700" y="50801"/>
          <a:ext cx="8213725" cy="4305852"/>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050" b="1" i="0" u="none" strike="noStrike" baseline="0">
              <a:solidFill>
                <a:schemeClr val="dk1"/>
              </a:solidFill>
              <a:latin typeface="Pero" panose="020F0506020203030304" pitchFamily="34" charset="0"/>
              <a:ea typeface="+mn-ea"/>
              <a:cs typeface="+mn-cs"/>
            </a:rPr>
            <a:t>*Level of certainty (lowest of the four dimensions evidence strengths, precision of impact estimates, assumptions, and sensitivity): </a:t>
          </a:r>
          <a:endParaRPr lang="en-US" sz="1050" b="0" i="0" u="none" strike="noStrike" baseline="0">
            <a:solidFill>
              <a:schemeClr val="dk1"/>
            </a:solidFill>
            <a:latin typeface="Pero" panose="020F0506020203030304" pitchFamily="34" charset="0"/>
            <a:ea typeface="+mn-ea"/>
            <a:cs typeface="+mn-cs"/>
          </a:endParaRPr>
        </a:p>
        <a:p>
          <a:pPr algn="l"/>
          <a:r>
            <a:rPr lang="en-US" sz="1050" b="0" i="0" u="none" strike="noStrike" baseline="0">
              <a:solidFill>
                <a:schemeClr val="dk1"/>
              </a:solidFill>
              <a:latin typeface="Pero" panose="020F0506020203030304" pitchFamily="34" charset="0"/>
              <a:ea typeface="+mn-ea"/>
              <a:cs typeface="+mn-cs"/>
            </a:rPr>
            <a:t>Low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No direct measurement of household income or consumption expenditure. Income effects modeled 	from intermediate outcomes. </a:t>
          </a:r>
        </a:p>
        <a:p>
          <a:pPr algn="l"/>
          <a:r>
            <a:rPr lang="en-US" sz="1050" b="0" i="0" u="none" strike="noStrike" baseline="0">
              <a:solidFill>
                <a:schemeClr val="dk1"/>
              </a:solidFill>
              <a:latin typeface="Pero" panose="020F0506020203030304" pitchFamily="34" charset="0"/>
              <a:ea typeface="+mn-ea"/>
              <a:cs typeface="+mn-cs"/>
            </a:rPr>
            <a:t>	Weak evaluation design (observational, no counterfactual; small or non-representative samples). </a:t>
          </a:r>
        </a:p>
        <a:p>
          <a:pPr algn="l"/>
          <a:r>
            <a:rPr lang="en-US" sz="1050" b="0" i="0" u="none" strike="noStrike" baseline="0">
              <a:solidFill>
                <a:schemeClr val="dk1"/>
              </a:solidFill>
              <a:latin typeface="Pero" panose="020F0506020203030304" pitchFamily="34" charset="0"/>
              <a:ea typeface="+mn-ea"/>
              <a:cs typeface="+mn-cs"/>
            </a:rPr>
            <a:t>	Impact/outcome estimates from very different contexts (low generalizability).</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Confidence interval (CI) width &gt; 60% of point estimate or no CI reported at all. Point 	estimates not statistically significant.</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Multiple key assumptions with high uncertainty (best guess).</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highly sensitive to key uncertain parameters. Small or plaussible variations (e.g. +/- 10-20%) in key 	parameters lead to large changes in SROI values or even a change in sign</a:t>
          </a:r>
        </a:p>
        <a:p>
          <a:pPr algn="l"/>
          <a:r>
            <a:rPr lang="en-US" sz="1050" b="0" i="0" u="none" strike="noStrike" baseline="0">
              <a:solidFill>
                <a:schemeClr val="dk1"/>
              </a:solidFill>
              <a:latin typeface="Pero" panose="020F0506020203030304" pitchFamily="34" charset="0"/>
              <a:ea typeface="+mn-ea"/>
              <a:cs typeface="+mn-cs"/>
            </a:rPr>
            <a:t>Medium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Impact estimates based on self-reported income or validated proxy measures. </a:t>
          </a:r>
        </a:p>
        <a:p>
          <a:pPr algn="l"/>
          <a:r>
            <a:rPr lang="en-US" sz="1050" b="0" i="0" u="none" strike="noStrike" baseline="0">
              <a:solidFill>
                <a:schemeClr val="dk1"/>
              </a:solidFill>
              <a:latin typeface="Pero" panose="020F0506020203030304" pitchFamily="34" charset="0"/>
              <a:ea typeface="+mn-ea"/>
              <a:cs typeface="+mn-cs"/>
            </a:rPr>
            <a:t>	Observational or quasi-experimental evaluation design with some attempt at causal inference.</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Impact estimates from similar contexts or adapted with reasoning.</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Moderately wide CI (CI width 30-60%). Borderline statistical significance of impact 	estimates.</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Some substantiated assumptions (with some form of support based on available evidence or logical 	reasoning). 	</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are moderately sensitive to key parameters. Reasonable variation in inputs leads to noticeable but 	not decision-changing shifts in ROI.</a:t>
          </a:r>
        </a:p>
        <a:p>
          <a:pPr algn="l"/>
          <a:r>
            <a:rPr lang="en-US" sz="1050" b="0" i="0" u="none" strike="noStrike" baseline="0">
              <a:solidFill>
                <a:schemeClr val="dk1"/>
              </a:solidFill>
              <a:latin typeface="Pero" panose="020F0506020203030304" pitchFamily="34" charset="0"/>
              <a:ea typeface="+mn-ea"/>
              <a:cs typeface="+mn-cs"/>
            </a:rPr>
            <a:t>High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Direct measurement of household consumption expenditure. </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Rigorous experimental/quasi-experimental design with strong causal identification.</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Impact estimates from coffee-growing households in East Africa or validated external validity.</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Income estimates significant at 5% (p&lt;0.05) with narrow confidence intervals (i.e., CI width 	&lt; 31% of the point estimate).</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All key assumptions are empirically grounded or sensitivity-tested.</a:t>
          </a:r>
        </a:p>
        <a:p>
          <a:pPr algn="l"/>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are robust to sensitivity analysis. Changes in inputs lead to only modest changes in SROI values, 	and conclusions remain consistent.</a:t>
          </a:r>
        </a:p>
      </xdr:txBody>
    </xdr:sp>
    <xdr:clientData/>
  </xdr:twoCellAnchor>
  <xdr:twoCellAnchor>
    <xdr:from>
      <xdr:col>0</xdr:col>
      <xdr:colOff>120650</xdr:colOff>
      <xdr:row>38</xdr:row>
      <xdr:rowOff>34926</xdr:rowOff>
    </xdr:from>
    <xdr:to>
      <xdr:col>14</xdr:col>
      <xdr:colOff>390526</xdr:colOff>
      <xdr:row>44</xdr:row>
      <xdr:rowOff>6350</xdr:rowOff>
    </xdr:to>
    <xdr:sp macro="" textlink="">
      <xdr:nvSpPr>
        <xdr:cNvPr id="5" name="TextBox 4">
          <a:extLst>
            <a:ext uri="{FF2B5EF4-FFF2-40B4-BE49-F238E27FC236}">
              <a16:creationId xmlns:a16="http://schemas.microsoft.com/office/drawing/2014/main" id="{807A0902-1B94-4FE3-90DF-E05EA7824329}"/>
            </a:ext>
          </a:extLst>
        </xdr:cNvPr>
        <xdr:cNvSpPr txBox="1"/>
      </xdr:nvSpPr>
      <xdr:spPr>
        <a:xfrm>
          <a:off x="120650" y="7969251"/>
          <a:ext cx="8270876" cy="11144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baseline="0">
              <a:solidFill>
                <a:schemeClr val="dk1"/>
              </a:solidFill>
              <a:effectLst/>
              <a:latin typeface="Pero" panose="020F0506020203030304" pitchFamily="34" charset="0"/>
              <a:ea typeface="+mn-ea"/>
              <a:cs typeface="+mn-cs"/>
            </a:rPr>
            <a:t>*Non-implementation costs share: </a:t>
          </a:r>
          <a:r>
            <a:rPr lang="en-US" sz="1050" b="0">
              <a:latin typeface="Pero" panose="020F0506020203030304" pitchFamily="34" charset="0"/>
            </a:rPr>
            <a:t>This parameter captures the share of the total project budget allocated to costs not directly related to project implementation — such as administrative overhead, institutional support functions, or organizational indirect costs applied by the implementing organization. In the base case, this share is set to 0%, meaning the full budget is treated as the cost base for the SROI calculation. This is the most conservative assumption, as it results in the highest total costs relative to impact and therefore the lowest SROI.</a:t>
          </a:r>
        </a:p>
        <a:p>
          <a:r>
            <a:rPr lang="en-US" sz="1050" b="0">
              <a:latin typeface="Pero" panose="020F0506020203030304" pitchFamily="34" charset="0"/>
            </a:rPr>
            <a:t>Applying a non-implementation cost share reduces the effective cost base by excluding the portion of the budget not directly needed for implementating the program. Higher values therefore result in a higher SROI</a:t>
          </a:r>
          <a:r>
            <a:rPr lang="en-US" sz="1050"/>
            <a:t>.</a:t>
          </a:r>
        </a:p>
        <a:p>
          <a:endParaRPr lang="en-US" sz="1050" b="0">
            <a:solidFill>
              <a:schemeClr val="dk1"/>
            </a:solidFill>
            <a:effectLst/>
            <a:latin typeface="Pero" panose="020F0506020203030304" pitchFamily="34" charset="0"/>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Gutiérrez, Marlene" id="{7810DD17-EAB8-4E74-B203-3D719B35E93B}" userId="S::mgutierrez@herewegrow.org::2654acc4-f93b-4a61-a09f-21503935608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0" dT="2026-06-08T12:18:50.29" personId="{7810DD17-EAB8-4E74-B203-3D719B35E93B}" id="{2208349B-DCDF-4086-A757-D590633A80F2}">
    <text>Calculated at a 10% discount rate, with 8.100 HH reached, the budget being required to replicate implementation (excluding 14% indirect costs), 7% expected income increase, not considering assets and a baseline HH income of 135.525 ETB.</text>
  </threadedComment>
  <threadedComment ref="B27" dT="2026-06-08T12:03:34.86" personId="{7810DD17-EAB8-4E74-B203-3D719B35E93B}" id="{E8BE9177-AEE6-4FEF-823A-3099F3C35689}">
    <text>Assets not conisdered;  Expected income increase (proxied by consumption expenditure in Year 2) = 7%; Baseline Income 100.000 ETB</text>
  </threadedComment>
  <threadedComment ref="B28" dT="2026-06-08T12:04:14.18" personId="{7810DD17-EAB8-4E74-B203-3D719B35E93B}" id="{A3EF8E58-F222-458F-A509-03EE9A1AB850}">
    <text>135.000 ETB Baseline Income; 41$ asset increase; 17% expected income increase (proxied by consumption expenditure in Year 2)</text>
  </threadedComment>
</ThreadedComments>
</file>

<file path=xl/threadedComments/threadedComment2.xml><?xml version="1.0" encoding="utf-8"?>
<ThreadedComments xmlns="http://schemas.microsoft.com/office/spreadsheetml/2018/threadedcomments" xmlns:x="http://schemas.openxmlformats.org/spreadsheetml/2006/main">
  <threadedComment ref="C11" dT="2026-04-24T13:10:40.41" personId="{7810DD17-EAB8-4E74-B203-3D719B35E93B}" id="{74E0CAB8-ADCB-4351-AACC-39CB456EC69E}">
    <text>Baseline consumption estimate sourced from Digital Green project (2023), collected across 4 Woredas in Jimma Zone and deflated to real 2021 values. Applied as a proxy for this project's 3 Woredas in Keffa Zone. Note that Keffa differs from Jimma in agroecological profile and livelihood mix, which introduces additional uncertainty into this estimate. VE will collect consumption data from the learning cohort through their internal monitoring system. The RCT will include a consumption measure at endline 1 and endline 2.</text>
  </threadedComment>
  <threadedComment ref="C59" dT="2026-02-04T15:29:20.47" personId="{7810DD17-EAB8-4E74-B203-3D719B35E93B}" id="{3D68DBEE-0070-4995-A874-5A4F2C567107}">
    <text>Includess 197.620,00 € Cofunding</text>
  </threadedComment>
  <threadedComment ref="C59" dT="2026-06-22T14:31:25.48" personId="{7810DD17-EAB8-4E74-B203-3D719B35E93B}" id="{AA7E2C05-CF9F-4A5C-8D2E-531D6B63FC82}" parentId="{3D68DBEE-0070-4995-A874-5A4F2C567107}">
    <text xml:space="preserve">Excludes 2.412€ Budget for Head of Research as this costs are irrrespective of implementation
</text>
  </threadedComment>
  <threadedComment ref="B78" dT="2026-06-23T12:39:23.74" personId="{7810DD17-EAB8-4E74-B203-3D719B35E93B}" id="{B522C1A3-6BD8-49FB-ADA4-5EAAE3C890CB}">
    <text xml:space="preserve"> 5 year horizon; 5% Discount Rate; including assets; non-implementation cost share 0%</text>
  </threadedComment>
  <threadedComment ref="F90" dT="2026-04-24T12:22:12.09" personId="{7810DD17-EAB8-4E74-B203-3D719B35E93B}" id="{23FEF1C5-264E-4F0C-B691-C05C20CC8FAF}">
    <text>The VEN01 Budget includes 14% indirect costs</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idinsight.org/wp-content/uploads/2026/06/DREAMS-Ethiopia-Endline-1-Report-1.pdf" TargetMode="External"/><Relationship Id="rId7" Type="http://schemas.openxmlformats.org/officeDocument/2006/relationships/comments" Target="../comments1.xml"/><Relationship Id="rId2" Type="http://schemas.openxmlformats.org/officeDocument/2006/relationships/hyperlink" Target="https://villageenterprise.org/what-we-do/development-impact-bond/" TargetMode="External"/><Relationship Id="rId1" Type="http://schemas.openxmlformats.org/officeDocument/2006/relationships/hyperlink" Target="https://poverty-action.org/"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xchange-rates.org/exchange-rate-history/etb-eur-2021" TargetMode="External"/><Relationship Id="rId1" Type="http://schemas.openxmlformats.org/officeDocument/2006/relationships/hyperlink" Target="https://www.imf.org/en/Publications/WEO/weo-database/2025/april/weo-report?c=644,&amp;s=NGDP_D,&amp;sy=2017&amp;ey=2030&amp;ssm=0&amp;scsm=1&amp;scc=0&amp;ssd=1&amp;ssc=0&amp;sic=0&amp;sort=country&amp;ds=.&amp;br=1"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villageenterprise.org/what-we-do/development-impact-bond/" TargetMode="External"/><Relationship Id="rId7" Type="http://schemas.microsoft.com/office/2017/10/relationships/threadedComment" Target="../threadedComments/threadedComment2.xml"/><Relationship Id="rId2" Type="http://schemas.openxmlformats.org/officeDocument/2006/relationships/hyperlink" Target="https://www.herewegrow.org/wp-content/uploads/2026/04/HereWeGrow_IFPRI_Digital-Green_Baseline-Report_2024.pdf" TargetMode="External"/><Relationship Id="rId1" Type="http://schemas.openxmlformats.org/officeDocument/2006/relationships/hyperlink" Target="https://villageenterprise.org/what-we-do/development-impact-bond/"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7D3F3-F596-485F-ACC5-D90C83F99006}">
  <dimension ref="A1:L66"/>
  <sheetViews>
    <sheetView showGridLines="0" zoomScale="67" zoomScaleNormal="115" workbookViewId="0">
      <selection activeCell="C16" sqref="C16"/>
    </sheetView>
  </sheetViews>
  <sheetFormatPr defaultColWidth="8.5546875" defaultRowHeight="14.4" x14ac:dyDescent="0.3"/>
  <cols>
    <col min="1" max="1" width="4.44140625" style="50" customWidth="1"/>
    <col min="2" max="2" width="35.5546875" style="50" customWidth="1"/>
    <col min="3" max="3" width="58" style="51" customWidth="1"/>
    <col min="4" max="4" width="16.44140625" customWidth="1"/>
    <col min="5" max="5" width="19.44140625" customWidth="1"/>
    <col min="6" max="6" width="16.5546875" customWidth="1"/>
    <col min="7" max="7" width="11" bestFit="1" customWidth="1"/>
    <col min="12" max="12" width="4.44140625" customWidth="1"/>
  </cols>
  <sheetData>
    <row r="1" spans="1:12" ht="21.75" customHeight="1" x14ac:dyDescent="0.3">
      <c r="A1" s="13"/>
      <c r="B1" s="14"/>
      <c r="C1" s="15"/>
      <c r="D1" s="16"/>
      <c r="E1" s="16"/>
      <c r="F1" s="16"/>
      <c r="G1" s="16"/>
      <c r="H1" s="16"/>
      <c r="I1" s="16"/>
      <c r="J1" s="16"/>
      <c r="K1" s="16"/>
      <c r="L1" s="17"/>
    </row>
    <row r="2" spans="1:12" ht="25.5" customHeight="1" x14ac:dyDescent="0.35">
      <c r="A2" s="18"/>
      <c r="B2" s="19" t="s">
        <v>0</v>
      </c>
      <c r="C2" s="82" t="s">
        <v>1</v>
      </c>
      <c r="D2" s="20"/>
      <c r="E2" s="20"/>
      <c r="F2" s="20"/>
      <c r="G2" s="20"/>
      <c r="H2" s="20"/>
      <c r="I2" s="20"/>
      <c r="J2" s="20"/>
      <c r="K2" s="20"/>
      <c r="L2" s="21"/>
    </row>
    <row r="3" spans="1:12" ht="27" customHeight="1" x14ac:dyDescent="0.3">
      <c r="A3" s="22"/>
      <c r="B3" s="23"/>
      <c r="C3" s="24"/>
      <c r="D3" s="20"/>
      <c r="E3" s="20"/>
      <c r="F3" s="20"/>
      <c r="G3" s="20"/>
      <c r="H3" s="20"/>
      <c r="I3" s="20"/>
      <c r="J3" s="20"/>
      <c r="K3" s="20"/>
      <c r="L3" s="21"/>
    </row>
    <row r="4" spans="1:12" ht="18" x14ac:dyDescent="0.35">
      <c r="A4" s="25"/>
      <c r="B4" s="77" t="s">
        <v>2</v>
      </c>
      <c r="C4" s="26"/>
      <c r="D4" s="7"/>
      <c r="E4" s="27"/>
      <c r="F4" s="27"/>
      <c r="G4" s="27"/>
      <c r="H4" s="27"/>
      <c r="I4" s="28"/>
      <c r="J4" s="28"/>
      <c r="K4" s="28"/>
      <c r="L4" s="29"/>
    </row>
    <row r="5" spans="1:12" ht="18" x14ac:dyDescent="0.35">
      <c r="A5" s="30"/>
      <c r="B5" s="31"/>
      <c r="C5" s="32"/>
      <c r="D5" s="33"/>
      <c r="E5" s="34"/>
      <c r="F5" s="34"/>
      <c r="G5" s="34"/>
      <c r="H5" s="34"/>
      <c r="I5" s="20"/>
      <c r="J5" s="20"/>
      <c r="K5" s="20"/>
      <c r="L5" s="21"/>
    </row>
    <row r="6" spans="1:12" ht="29.4" x14ac:dyDescent="0.35">
      <c r="A6" s="30"/>
      <c r="B6" s="35" t="s">
        <v>3</v>
      </c>
      <c r="C6" s="66" t="s">
        <v>4</v>
      </c>
      <c r="D6" s="37"/>
      <c r="E6" s="34"/>
      <c r="F6" s="34"/>
      <c r="G6" s="34"/>
      <c r="H6" s="34"/>
      <c r="I6" s="20"/>
      <c r="J6" s="20"/>
      <c r="K6" s="20"/>
      <c r="L6" s="21"/>
    </row>
    <row r="7" spans="1:12" x14ac:dyDescent="0.3">
      <c r="A7" s="30"/>
      <c r="B7" s="38" t="s">
        <v>5</v>
      </c>
      <c r="C7" s="66" t="s">
        <v>6</v>
      </c>
      <c r="D7" s="39"/>
      <c r="E7" s="34"/>
      <c r="F7" s="34"/>
      <c r="G7" s="34"/>
      <c r="H7" s="34"/>
      <c r="I7" s="20"/>
      <c r="J7" s="20"/>
      <c r="K7" s="20"/>
      <c r="L7" s="21"/>
    </row>
    <row r="8" spans="1:12" x14ac:dyDescent="0.3">
      <c r="A8" s="30"/>
      <c r="B8" s="38" t="s">
        <v>7</v>
      </c>
      <c r="C8" s="96" t="s">
        <v>8</v>
      </c>
      <c r="D8" s="40"/>
      <c r="E8" s="34"/>
      <c r="F8" s="34"/>
      <c r="G8" s="34"/>
      <c r="H8" s="34"/>
      <c r="I8" s="20"/>
      <c r="J8" s="20"/>
      <c r="K8" s="20"/>
      <c r="L8" s="21"/>
    </row>
    <row r="9" spans="1:12" x14ac:dyDescent="0.3">
      <c r="A9" s="30"/>
      <c r="B9" s="38" t="s">
        <v>9</v>
      </c>
      <c r="C9" s="36" t="s">
        <v>10</v>
      </c>
      <c r="D9" s="39"/>
      <c r="E9" s="34"/>
      <c r="F9" s="34"/>
      <c r="G9" s="34"/>
      <c r="H9" s="34"/>
      <c r="I9" s="20"/>
      <c r="J9" s="20"/>
      <c r="K9" s="20"/>
      <c r="L9" s="21"/>
    </row>
    <row r="10" spans="1:12" x14ac:dyDescent="0.3">
      <c r="A10" s="30"/>
      <c r="B10" s="38" t="s">
        <v>11</v>
      </c>
      <c r="C10" s="67" t="s">
        <v>12</v>
      </c>
      <c r="D10" s="39"/>
      <c r="E10" s="34"/>
      <c r="F10" s="34"/>
      <c r="G10" s="34"/>
      <c r="H10" s="34"/>
      <c r="I10" s="20"/>
      <c r="J10" s="20"/>
      <c r="K10" s="20"/>
      <c r="L10" s="21"/>
    </row>
    <row r="11" spans="1:12" x14ac:dyDescent="0.3">
      <c r="A11" s="30"/>
      <c r="B11" s="38" t="s">
        <v>13</v>
      </c>
      <c r="C11" s="41" t="s">
        <v>14</v>
      </c>
      <c r="D11" s="39"/>
      <c r="E11" s="34"/>
      <c r="F11" s="34"/>
      <c r="G11" s="34"/>
      <c r="H11" s="34"/>
      <c r="I11" s="20"/>
      <c r="J11" s="20"/>
      <c r="K11" s="20"/>
      <c r="L11" s="21"/>
    </row>
    <row r="12" spans="1:12" ht="72" x14ac:dyDescent="0.3">
      <c r="A12" s="30"/>
      <c r="B12" s="38" t="s">
        <v>15</v>
      </c>
      <c r="C12" s="36" t="s">
        <v>16</v>
      </c>
      <c r="D12" s="39"/>
      <c r="E12" s="34"/>
      <c r="F12" s="34"/>
      <c r="G12" s="34"/>
      <c r="H12" s="34"/>
      <c r="I12" s="20"/>
      <c r="J12" s="20"/>
      <c r="K12" s="20"/>
      <c r="L12" s="21"/>
    </row>
    <row r="13" spans="1:12" x14ac:dyDescent="0.3">
      <c r="A13" s="30"/>
      <c r="B13" s="38" t="s">
        <v>17</v>
      </c>
      <c r="C13" s="42">
        <f>SUM(SROI!C59:G59)</f>
        <v>2826786.9473684207</v>
      </c>
      <c r="D13" s="39"/>
      <c r="E13" s="34"/>
      <c r="F13" s="34"/>
      <c r="G13" s="34"/>
      <c r="H13" s="34"/>
      <c r="I13" s="20"/>
      <c r="J13" s="20"/>
      <c r="K13" s="20"/>
      <c r="L13" s="21"/>
    </row>
    <row r="14" spans="1:12" x14ac:dyDescent="0.3">
      <c r="A14" s="30"/>
      <c r="B14" s="38" t="s">
        <v>18</v>
      </c>
      <c r="C14" s="43">
        <v>8100</v>
      </c>
      <c r="D14" s="39" t="s">
        <v>19</v>
      </c>
      <c r="E14" s="34"/>
      <c r="F14" s="34"/>
      <c r="G14" s="34"/>
      <c r="H14" s="34"/>
      <c r="I14" s="20"/>
      <c r="J14" s="20"/>
      <c r="K14" s="20"/>
      <c r="L14" s="21"/>
    </row>
    <row r="15" spans="1:12" x14ac:dyDescent="0.3">
      <c r="A15" s="30"/>
      <c r="B15" s="38" t="s">
        <v>20</v>
      </c>
      <c r="C15" s="44" t="s">
        <v>153</v>
      </c>
      <c r="D15" s="39"/>
      <c r="E15" s="34"/>
      <c r="F15" s="34"/>
      <c r="G15" s="34"/>
      <c r="H15" s="34"/>
      <c r="I15" s="20"/>
      <c r="J15" s="20"/>
      <c r="K15" s="20"/>
      <c r="L15" s="21"/>
    </row>
    <row r="16" spans="1:12" x14ac:dyDescent="0.3">
      <c r="A16" s="30"/>
      <c r="B16" s="38" t="s">
        <v>21</v>
      </c>
      <c r="C16" s="44" t="s">
        <v>22</v>
      </c>
      <c r="D16" s="39"/>
      <c r="E16" s="34"/>
      <c r="F16" s="34"/>
      <c r="G16" s="34"/>
      <c r="H16" s="34"/>
      <c r="I16" s="20"/>
      <c r="J16" s="20"/>
      <c r="K16" s="20"/>
      <c r="L16" s="21"/>
    </row>
    <row r="17" spans="1:12" x14ac:dyDescent="0.3">
      <c r="A17" s="30"/>
      <c r="B17" s="131"/>
      <c r="C17" s="132"/>
      <c r="D17" s="34"/>
      <c r="E17" s="34"/>
      <c r="F17" s="34"/>
      <c r="G17" s="34"/>
      <c r="H17" s="34"/>
      <c r="I17" s="20"/>
      <c r="J17" s="20"/>
      <c r="K17" s="20"/>
      <c r="L17" s="21"/>
    </row>
    <row r="18" spans="1:12" ht="18" x14ac:dyDescent="0.35">
      <c r="A18" s="25"/>
      <c r="B18" s="164" t="s">
        <v>23</v>
      </c>
      <c r="C18" s="26"/>
      <c r="D18" s="7"/>
      <c r="E18" s="7"/>
      <c r="F18" s="7"/>
      <c r="G18" s="7"/>
      <c r="H18" s="7"/>
      <c r="I18" s="7"/>
      <c r="J18" s="7"/>
      <c r="K18" s="7"/>
      <c r="L18" s="46"/>
    </row>
    <row r="19" spans="1:12" ht="18" x14ac:dyDescent="0.35">
      <c r="A19" s="47"/>
      <c r="B19" s="31"/>
      <c r="C19" s="32"/>
      <c r="D19" s="33"/>
      <c r="E19" s="34"/>
      <c r="F19" s="34"/>
      <c r="G19" s="34"/>
      <c r="H19" s="34"/>
      <c r="I19" s="20"/>
      <c r="J19" s="20"/>
      <c r="K19" s="20"/>
      <c r="L19" s="21"/>
    </row>
    <row r="20" spans="1:12" ht="28.8" x14ac:dyDescent="0.3">
      <c r="A20" s="48"/>
      <c r="B20" s="173" t="s">
        <v>24</v>
      </c>
      <c r="C20" s="174">
        <f>SROI!C77</f>
        <v>2.4835916911043086</v>
      </c>
      <c r="D20" s="20"/>
      <c r="E20" s="34"/>
      <c r="F20" s="34"/>
      <c r="G20" s="34"/>
      <c r="H20" s="34"/>
      <c r="I20" s="20"/>
      <c r="J20" s="20"/>
      <c r="K20" s="20"/>
      <c r="L20" s="21"/>
    </row>
    <row r="21" spans="1:12" x14ac:dyDescent="0.3">
      <c r="A21" s="49"/>
      <c r="B21" s="38" t="s">
        <v>25</v>
      </c>
      <c r="C21" s="36" t="s">
        <v>26</v>
      </c>
      <c r="D21" s="34"/>
      <c r="E21" s="34"/>
      <c r="F21" s="34"/>
      <c r="G21" s="34"/>
      <c r="H21" s="34"/>
      <c r="I21" s="20"/>
      <c r="J21" s="20"/>
      <c r="K21" s="20"/>
      <c r="L21" s="21"/>
    </row>
    <row r="22" spans="1:12" x14ac:dyDescent="0.3">
      <c r="A22" s="49"/>
      <c r="B22" s="38" t="s">
        <v>27</v>
      </c>
      <c r="C22" s="36" t="s">
        <v>28</v>
      </c>
      <c r="D22" s="20"/>
      <c r="E22" s="34"/>
      <c r="F22" s="34"/>
      <c r="G22" s="34"/>
      <c r="H22" s="34"/>
      <c r="I22" s="20"/>
      <c r="J22" s="20"/>
      <c r="K22" s="20"/>
      <c r="L22" s="21"/>
    </row>
    <row r="23" spans="1:12" ht="19.5" customHeight="1" x14ac:dyDescent="0.3">
      <c r="A23" s="49"/>
      <c r="B23" s="226" t="s">
        <v>29</v>
      </c>
      <c r="C23" s="175" t="s">
        <v>30</v>
      </c>
      <c r="D23" s="20"/>
      <c r="E23" s="34"/>
      <c r="F23" s="34"/>
      <c r="G23" s="34"/>
      <c r="H23" s="34"/>
      <c r="I23" s="20"/>
      <c r="J23" s="20"/>
      <c r="K23" s="20"/>
      <c r="L23" s="21"/>
    </row>
    <row r="24" spans="1:12" ht="19.5" customHeight="1" x14ac:dyDescent="0.3">
      <c r="A24" s="49"/>
      <c r="B24" s="227"/>
      <c r="C24" s="175" t="s">
        <v>148</v>
      </c>
      <c r="D24" s="20"/>
      <c r="E24" s="34"/>
      <c r="F24" s="34"/>
      <c r="G24" s="34"/>
      <c r="H24" s="34"/>
      <c r="I24" s="20"/>
      <c r="J24" s="20"/>
      <c r="K24" s="20"/>
      <c r="L24" s="21"/>
    </row>
    <row r="25" spans="1:12" ht="25.5" customHeight="1" x14ac:dyDescent="0.3">
      <c r="A25" s="49"/>
      <c r="B25" s="224" t="s">
        <v>31</v>
      </c>
      <c r="C25" s="225"/>
      <c r="D25" s="20"/>
      <c r="E25" s="34"/>
      <c r="F25" s="34"/>
      <c r="G25" s="34"/>
      <c r="H25" s="34"/>
      <c r="I25" s="20"/>
      <c r="J25" s="20"/>
      <c r="K25" s="20"/>
      <c r="L25" s="21"/>
    </row>
    <row r="26" spans="1:12" ht="30.75" customHeight="1" x14ac:dyDescent="0.3">
      <c r="A26" s="49"/>
      <c r="B26" s="207" t="s">
        <v>32</v>
      </c>
      <c r="C26" s="208" t="s">
        <v>151</v>
      </c>
      <c r="D26" s="20"/>
      <c r="E26" s="34"/>
      <c r="F26" s="34"/>
      <c r="G26" s="34"/>
      <c r="H26" s="34"/>
      <c r="I26" s="20"/>
      <c r="J26" s="20"/>
      <c r="K26" s="20"/>
      <c r="L26" s="21"/>
    </row>
    <row r="27" spans="1:12" ht="18.75" customHeight="1" x14ac:dyDescent="0.3">
      <c r="A27" s="49"/>
      <c r="B27" s="79" t="s">
        <v>33</v>
      </c>
      <c r="C27" s="206">
        <v>2</v>
      </c>
      <c r="D27" s="20"/>
      <c r="E27" s="34"/>
      <c r="F27" s="34"/>
      <c r="G27" s="34"/>
      <c r="H27" s="34"/>
      <c r="I27" s="20"/>
      <c r="J27" s="20"/>
      <c r="K27" s="20"/>
      <c r="L27" s="21"/>
    </row>
    <row r="28" spans="1:12" ht="15" customHeight="1" x14ac:dyDescent="0.3">
      <c r="A28" s="49"/>
      <c r="B28" s="79" t="s">
        <v>34</v>
      </c>
      <c r="C28" s="206">
        <v>6.2</v>
      </c>
      <c r="D28" s="20"/>
      <c r="E28" s="34"/>
      <c r="F28" s="34"/>
      <c r="G28" s="34"/>
      <c r="H28" s="34"/>
      <c r="I28" s="20"/>
      <c r="J28" s="20"/>
      <c r="K28" s="20"/>
      <c r="L28" s="21"/>
    </row>
    <row r="29" spans="1:12" ht="23.25" customHeight="1" x14ac:dyDescent="0.35">
      <c r="A29" s="47"/>
      <c r="B29" s="31"/>
      <c r="C29" s="32"/>
      <c r="D29" s="33"/>
      <c r="E29" s="34"/>
      <c r="F29" s="34"/>
      <c r="G29" s="34"/>
      <c r="H29" s="34"/>
      <c r="I29" s="20"/>
      <c r="J29" s="20"/>
      <c r="K29" s="20"/>
      <c r="L29" s="21"/>
    </row>
    <row r="30" spans="1:12" ht="18" x14ac:dyDescent="0.35">
      <c r="A30" s="25"/>
      <c r="B30" s="164" t="s">
        <v>35</v>
      </c>
      <c r="C30" s="26"/>
      <c r="D30" s="7"/>
      <c r="E30" s="27"/>
      <c r="F30" s="27"/>
      <c r="G30" s="27"/>
      <c r="H30" s="27"/>
      <c r="I30" s="28"/>
      <c r="J30" s="28"/>
      <c r="K30" s="28"/>
      <c r="L30" s="29"/>
    </row>
    <row r="31" spans="1:12" ht="18" x14ac:dyDescent="0.35">
      <c r="A31" s="47"/>
      <c r="B31" s="31"/>
      <c r="C31" s="32"/>
      <c r="D31" s="33"/>
      <c r="E31" s="34"/>
      <c r="F31" s="34"/>
      <c r="G31" s="34"/>
      <c r="H31" s="34"/>
      <c r="I31" s="20"/>
      <c r="J31" s="20"/>
      <c r="K31" s="20"/>
      <c r="L31" s="21"/>
    </row>
    <row r="32" spans="1:12" x14ac:dyDescent="0.3">
      <c r="A32" s="49"/>
      <c r="B32" s="38" t="s">
        <v>36</v>
      </c>
      <c r="C32" s="36" t="s">
        <v>37</v>
      </c>
      <c r="D32" s="34"/>
      <c r="E32" s="34"/>
      <c r="F32" s="34"/>
      <c r="G32" s="34"/>
      <c r="H32" s="34"/>
      <c r="I32" s="20"/>
      <c r="J32" s="20"/>
      <c r="K32" s="20"/>
      <c r="L32" s="21"/>
    </row>
    <row r="33" spans="1:12" x14ac:dyDescent="0.3">
      <c r="A33" s="49"/>
      <c r="B33" s="38" t="s">
        <v>38</v>
      </c>
      <c r="C33" s="36" t="s">
        <v>39</v>
      </c>
      <c r="D33" s="34"/>
      <c r="E33" s="34"/>
      <c r="F33" s="34"/>
      <c r="G33" s="34"/>
      <c r="H33" s="34"/>
      <c r="I33" s="20"/>
      <c r="J33" s="20"/>
      <c r="K33" s="20"/>
      <c r="L33" s="21"/>
    </row>
    <row r="34" spans="1:12" x14ac:dyDescent="0.3">
      <c r="A34" s="49"/>
      <c r="B34" s="38" t="s">
        <v>40</v>
      </c>
      <c r="C34" s="36" t="s">
        <v>41</v>
      </c>
      <c r="D34" s="34"/>
      <c r="E34" s="34"/>
      <c r="F34" s="34"/>
      <c r="G34" s="34"/>
      <c r="H34" s="34"/>
      <c r="I34" s="20"/>
      <c r="J34" s="20"/>
      <c r="K34" s="20"/>
      <c r="L34" s="21"/>
    </row>
    <row r="35" spans="1:12" x14ac:dyDescent="0.3">
      <c r="A35" s="49"/>
      <c r="B35" s="38" t="s">
        <v>42</v>
      </c>
      <c r="C35" s="36" t="s">
        <v>43</v>
      </c>
      <c r="D35" s="34"/>
      <c r="E35" s="34"/>
      <c r="F35" s="34"/>
      <c r="G35" s="34"/>
      <c r="H35" s="34"/>
      <c r="I35" s="20"/>
      <c r="J35" s="20"/>
      <c r="K35" s="20"/>
      <c r="L35" s="21"/>
    </row>
    <row r="36" spans="1:12" x14ac:dyDescent="0.3">
      <c r="A36" s="49"/>
      <c r="B36" s="38" t="s">
        <v>44</v>
      </c>
      <c r="C36" s="36" t="s">
        <v>45</v>
      </c>
      <c r="D36" s="34"/>
      <c r="E36" s="34"/>
      <c r="F36" s="34"/>
      <c r="G36" s="34"/>
      <c r="H36" s="34"/>
      <c r="I36" s="20"/>
      <c r="J36" s="20"/>
      <c r="K36" s="20"/>
      <c r="L36" s="21"/>
    </row>
    <row r="37" spans="1:12" x14ac:dyDescent="0.3">
      <c r="A37" s="49"/>
      <c r="B37" s="38" t="s">
        <v>46</v>
      </c>
      <c r="C37" s="36" t="s">
        <v>47</v>
      </c>
      <c r="D37" s="34"/>
      <c r="E37" s="34"/>
      <c r="F37" s="34"/>
      <c r="G37" s="34"/>
      <c r="H37" s="34"/>
      <c r="I37" s="20"/>
      <c r="J37" s="20"/>
      <c r="K37" s="20"/>
      <c r="L37" s="21"/>
    </row>
    <row r="38" spans="1:12" x14ac:dyDescent="0.3">
      <c r="A38" s="52"/>
      <c r="B38" s="53"/>
      <c r="C38" s="45"/>
      <c r="D38" s="34"/>
      <c r="E38" s="34"/>
      <c r="F38" s="34"/>
      <c r="G38" s="34"/>
      <c r="H38" s="34"/>
      <c r="I38" s="20"/>
      <c r="J38" s="20"/>
      <c r="K38" s="20"/>
      <c r="L38" s="21"/>
    </row>
    <row r="39" spans="1:12" ht="18" x14ac:dyDescent="0.35">
      <c r="A39" s="25"/>
      <c r="B39" s="164" t="s">
        <v>48</v>
      </c>
      <c r="C39" s="26"/>
      <c r="D39" s="7"/>
      <c r="E39" s="27"/>
      <c r="F39" s="27"/>
      <c r="G39" s="27"/>
      <c r="H39" s="27"/>
      <c r="I39" s="28"/>
      <c r="J39" s="28"/>
      <c r="K39" s="28"/>
      <c r="L39" s="29"/>
    </row>
    <row r="40" spans="1:12" ht="18" x14ac:dyDescent="0.35">
      <c r="A40" s="47"/>
      <c r="B40" s="31"/>
      <c r="C40" s="32"/>
      <c r="D40" s="33"/>
      <c r="E40" s="34"/>
      <c r="F40" s="34"/>
      <c r="G40" s="34"/>
      <c r="H40" s="34"/>
      <c r="I40" s="20"/>
      <c r="J40" s="20"/>
      <c r="K40" s="20"/>
      <c r="L40" s="21"/>
    </row>
    <row r="41" spans="1:12" ht="78.75" customHeight="1" x14ac:dyDescent="0.3">
      <c r="A41" s="49"/>
      <c r="B41" s="79" t="s">
        <v>49</v>
      </c>
      <c r="C41" s="223" t="s">
        <v>50</v>
      </c>
      <c r="D41" s="223"/>
      <c r="E41" s="223"/>
      <c r="F41" s="223"/>
      <c r="G41" s="223"/>
      <c r="H41" s="223"/>
      <c r="I41" s="223"/>
      <c r="J41" s="20"/>
      <c r="K41" s="20"/>
      <c r="L41" s="21"/>
    </row>
    <row r="42" spans="1:12" x14ac:dyDescent="0.3">
      <c r="A42" s="54"/>
      <c r="B42" s="55"/>
      <c r="C42" s="24"/>
      <c r="D42" s="20"/>
      <c r="E42" s="20"/>
      <c r="F42" s="20"/>
      <c r="G42" s="20"/>
      <c r="H42" s="20"/>
      <c r="I42" s="20"/>
      <c r="J42" s="20"/>
      <c r="K42" s="20"/>
      <c r="L42" s="21"/>
    </row>
    <row r="43" spans="1:12" ht="18" x14ac:dyDescent="0.35">
      <c r="A43" s="25"/>
      <c r="B43" s="164" t="s">
        <v>51</v>
      </c>
      <c r="C43" s="26"/>
      <c r="D43" s="7"/>
      <c r="E43" s="27"/>
      <c r="F43" s="27"/>
      <c r="G43" s="27"/>
      <c r="H43" s="27"/>
      <c r="I43" s="28"/>
      <c r="J43" s="28"/>
      <c r="K43" s="28"/>
      <c r="L43" s="29"/>
    </row>
    <row r="44" spans="1:12" x14ac:dyDescent="0.3">
      <c r="A44" s="54"/>
      <c r="B44" s="55"/>
      <c r="C44" s="24"/>
      <c r="D44" s="20"/>
      <c r="E44" s="20"/>
      <c r="F44" s="20"/>
      <c r="G44" s="20"/>
      <c r="H44" s="20"/>
      <c r="I44" s="20"/>
      <c r="J44" s="20"/>
      <c r="K44" s="20"/>
      <c r="L44" s="21"/>
    </row>
    <row r="45" spans="1:12" x14ac:dyDescent="0.3">
      <c r="A45" s="54"/>
      <c r="B45" s="55"/>
      <c r="C45" s="24"/>
      <c r="D45" s="20"/>
      <c r="E45" s="20"/>
      <c r="F45" s="20"/>
      <c r="G45" s="20"/>
      <c r="H45" s="20"/>
      <c r="I45" s="20"/>
      <c r="J45" s="20"/>
      <c r="K45" s="20"/>
      <c r="L45" s="21"/>
    </row>
    <row r="46" spans="1:12" x14ac:dyDescent="0.3">
      <c r="A46" s="54"/>
      <c r="B46" s="55"/>
      <c r="C46" s="24"/>
      <c r="D46" s="56"/>
      <c r="E46" s="20"/>
      <c r="F46" s="20"/>
      <c r="G46" s="20"/>
      <c r="H46" s="20"/>
      <c r="I46" s="20"/>
      <c r="J46" s="20"/>
      <c r="K46" s="20"/>
      <c r="L46" s="21"/>
    </row>
    <row r="47" spans="1:12" x14ac:dyDescent="0.3">
      <c r="A47" s="57"/>
      <c r="B47"/>
      <c r="C47" s="58"/>
      <c r="D47" s="56"/>
      <c r="E47" s="59"/>
      <c r="F47" s="60"/>
      <c r="G47" s="60"/>
      <c r="H47" s="20"/>
      <c r="I47" s="20"/>
      <c r="J47" s="20"/>
      <c r="K47" s="20"/>
      <c r="L47" s="21"/>
    </row>
    <row r="48" spans="1:12" x14ac:dyDescent="0.3">
      <c r="A48" s="57"/>
      <c r="B48"/>
      <c r="C48" s="58"/>
      <c r="D48" s="56"/>
      <c r="E48" s="59"/>
      <c r="F48" s="60"/>
      <c r="G48" s="60"/>
      <c r="H48" s="20"/>
      <c r="I48" s="20"/>
      <c r="J48" s="20"/>
      <c r="K48" s="20"/>
      <c r="L48" s="21"/>
    </row>
    <row r="49" spans="1:12" x14ac:dyDescent="0.3">
      <c r="A49" s="57"/>
      <c r="B49" t="s">
        <v>52</v>
      </c>
      <c r="C49" s="58">
        <f>SROI!C71</f>
        <v>667.15655647976553</v>
      </c>
      <c r="D49" s="56"/>
      <c r="E49" s="222"/>
      <c r="F49" s="65" t="s">
        <v>53</v>
      </c>
      <c r="G49" s="60">
        <f>SROI!C69</f>
        <v>5403968.1074861009</v>
      </c>
      <c r="H49" s="20"/>
      <c r="I49" s="20"/>
      <c r="J49" s="20"/>
      <c r="K49" s="20"/>
      <c r="L49" s="21"/>
    </row>
    <row r="50" spans="1:12" x14ac:dyDescent="0.3">
      <c r="A50" s="54"/>
      <c r="B50" t="s">
        <v>54</v>
      </c>
      <c r="C50" s="58">
        <f>SROI!C65</f>
        <v>268.62569997692333</v>
      </c>
      <c r="D50" s="20"/>
      <c r="E50" s="222"/>
      <c r="F50" s="65" t="s">
        <v>55</v>
      </c>
      <c r="G50" s="60">
        <f>SROI!C64</f>
        <v>2175868.1698130788</v>
      </c>
      <c r="H50" s="20"/>
      <c r="I50" s="20"/>
      <c r="J50" s="20"/>
      <c r="K50" s="20"/>
      <c r="L50" s="21"/>
    </row>
    <row r="51" spans="1:12" x14ac:dyDescent="0.3">
      <c r="A51" s="54"/>
      <c r="B51" s="55" t="s">
        <v>56</v>
      </c>
      <c r="C51" s="80">
        <f>SROI!C72</f>
        <v>398.5308565028422</v>
      </c>
      <c r="D51" s="20"/>
      <c r="E51" s="222"/>
      <c r="F51" s="65" t="s">
        <v>57</v>
      </c>
      <c r="G51" s="60">
        <f>SROI!C70</f>
        <v>3228099.937673022</v>
      </c>
      <c r="H51" s="20"/>
      <c r="I51" s="20"/>
      <c r="J51" s="20"/>
      <c r="K51" s="20"/>
      <c r="L51" s="21"/>
    </row>
    <row r="52" spans="1:12" x14ac:dyDescent="0.3">
      <c r="A52" s="22"/>
      <c r="B52" s="23"/>
      <c r="C52" s="24"/>
      <c r="D52" s="20"/>
      <c r="E52" s="20"/>
      <c r="F52" s="20"/>
      <c r="G52" s="20"/>
      <c r="H52" s="20"/>
      <c r="I52" s="20"/>
      <c r="J52" s="20"/>
      <c r="K52" s="20"/>
      <c r="L52" s="21"/>
    </row>
    <row r="53" spans="1:12" x14ac:dyDescent="0.3">
      <c r="A53" s="22"/>
      <c r="B53" s="23"/>
      <c r="C53" s="24"/>
      <c r="D53" s="20"/>
      <c r="E53" s="20"/>
      <c r="F53" s="20"/>
      <c r="G53" s="20"/>
      <c r="H53" s="20"/>
      <c r="J53" s="20"/>
      <c r="K53" s="20"/>
      <c r="L53" s="21"/>
    </row>
    <row r="54" spans="1:12" x14ac:dyDescent="0.3">
      <c r="A54" s="22"/>
      <c r="B54" s="23"/>
      <c r="C54" s="24"/>
      <c r="D54" s="20"/>
      <c r="E54" s="20"/>
      <c r="F54" s="20"/>
      <c r="G54" s="20"/>
      <c r="H54" s="20"/>
      <c r="I54" s="20"/>
      <c r="J54" s="20"/>
      <c r="K54" s="20"/>
      <c r="L54" s="21"/>
    </row>
    <row r="55" spans="1:12" x14ac:dyDescent="0.3">
      <c r="A55" s="22"/>
      <c r="B55" s="23"/>
      <c r="C55" s="24"/>
      <c r="D55" s="20"/>
      <c r="E55" s="20"/>
      <c r="F55" s="20"/>
      <c r="G55" s="20"/>
      <c r="H55" s="20"/>
      <c r="I55" s="20"/>
      <c r="J55" s="20"/>
      <c r="K55" s="20"/>
      <c r="L55" s="21"/>
    </row>
    <row r="56" spans="1:12" x14ac:dyDescent="0.3">
      <c r="A56" s="22"/>
      <c r="B56" s="23"/>
      <c r="C56" s="24"/>
      <c r="D56" s="20"/>
      <c r="E56" s="20"/>
      <c r="F56" s="20"/>
      <c r="G56" s="20"/>
      <c r="H56" s="20"/>
      <c r="I56" s="20"/>
      <c r="J56" s="20"/>
      <c r="K56" s="20"/>
      <c r="L56" s="21"/>
    </row>
    <row r="57" spans="1:12" x14ac:dyDescent="0.3">
      <c r="A57" s="22"/>
      <c r="B57" s="23"/>
      <c r="C57" s="24"/>
      <c r="D57" s="20"/>
      <c r="E57" s="20"/>
      <c r="F57" s="20"/>
      <c r="G57" s="20"/>
      <c r="H57" s="20"/>
      <c r="I57" s="20"/>
      <c r="J57" s="20"/>
      <c r="K57" s="20"/>
      <c r="L57" s="21"/>
    </row>
    <row r="58" spans="1:12" x14ac:dyDescent="0.3">
      <c r="A58" s="22"/>
      <c r="B58" s="23"/>
      <c r="C58" s="24"/>
      <c r="D58" s="20"/>
      <c r="E58" s="20"/>
      <c r="F58" s="20"/>
      <c r="G58" s="20"/>
      <c r="H58" s="20"/>
      <c r="I58" s="20"/>
      <c r="J58" s="20"/>
      <c r="K58" s="20"/>
      <c r="L58" s="21"/>
    </row>
    <row r="59" spans="1:12" x14ac:dyDescent="0.3">
      <c r="A59" s="22"/>
      <c r="B59" s="23"/>
      <c r="C59" s="24"/>
      <c r="D59" s="20"/>
      <c r="E59" s="20"/>
      <c r="F59" s="20"/>
      <c r="G59" s="20"/>
      <c r="H59" s="20"/>
      <c r="I59" s="20"/>
      <c r="J59" s="20"/>
      <c r="K59" s="20"/>
      <c r="L59" s="21"/>
    </row>
    <row r="60" spans="1:12" x14ac:dyDescent="0.3">
      <c r="A60" s="22"/>
      <c r="B60" s="23"/>
      <c r="C60" s="24"/>
      <c r="D60" s="20"/>
      <c r="E60" s="20"/>
      <c r="F60" s="20"/>
      <c r="G60" s="20"/>
      <c r="H60" s="20"/>
      <c r="I60" s="20"/>
      <c r="J60" s="20"/>
      <c r="K60" s="20"/>
      <c r="L60" s="21"/>
    </row>
    <row r="61" spans="1:12" x14ac:dyDescent="0.3">
      <c r="A61" s="22"/>
      <c r="B61" s="23"/>
      <c r="C61" s="24"/>
      <c r="D61" s="20"/>
      <c r="E61" s="20"/>
      <c r="F61" s="20"/>
      <c r="G61" s="20"/>
      <c r="H61" s="20"/>
      <c r="I61" s="20"/>
      <c r="J61" s="20"/>
      <c r="K61" s="20"/>
      <c r="L61" s="21"/>
    </row>
    <row r="62" spans="1:12" x14ac:dyDescent="0.3">
      <c r="A62" s="22"/>
      <c r="B62" s="23"/>
      <c r="C62" s="24"/>
      <c r="D62" s="20"/>
      <c r="E62" s="20"/>
      <c r="F62" s="20"/>
      <c r="G62" s="20"/>
      <c r="H62" s="20"/>
      <c r="I62" s="20"/>
      <c r="J62" s="20"/>
      <c r="K62" s="20"/>
      <c r="L62" s="21"/>
    </row>
    <row r="63" spans="1:12" x14ac:dyDescent="0.3">
      <c r="A63" s="22"/>
      <c r="B63" s="23"/>
      <c r="C63" s="24"/>
      <c r="D63" s="20"/>
      <c r="E63" s="20"/>
      <c r="F63" s="20"/>
      <c r="G63" s="20"/>
      <c r="H63" s="20"/>
      <c r="I63" s="20"/>
      <c r="J63" s="20"/>
      <c r="K63" s="20"/>
      <c r="L63" s="21"/>
    </row>
    <row r="64" spans="1:12" x14ac:dyDescent="0.3">
      <c r="A64" s="22"/>
      <c r="B64" s="23"/>
      <c r="C64" s="24"/>
      <c r="D64" s="20"/>
      <c r="E64" s="20"/>
      <c r="F64" s="20"/>
      <c r="G64" s="20"/>
      <c r="H64" s="20"/>
      <c r="I64" s="20"/>
      <c r="J64" s="20"/>
      <c r="K64" s="20"/>
      <c r="L64" s="21"/>
    </row>
    <row r="65" spans="1:12" x14ac:dyDescent="0.3">
      <c r="A65" s="20"/>
      <c r="B65" s="20"/>
      <c r="C65" s="20"/>
      <c r="D65" s="20"/>
      <c r="E65" s="20"/>
      <c r="F65" s="20"/>
      <c r="G65" s="20"/>
      <c r="H65" s="20"/>
      <c r="I65" s="20"/>
      <c r="J65" s="20"/>
      <c r="K65" s="20"/>
      <c r="L65" s="21"/>
    </row>
    <row r="66" spans="1:12" ht="15.6" x14ac:dyDescent="0.3">
      <c r="A66" s="61"/>
      <c r="B66" s="78" t="s">
        <v>58</v>
      </c>
      <c r="C66" s="62"/>
      <c r="D66" s="63"/>
      <c r="E66" s="63"/>
      <c r="F66" s="63"/>
      <c r="G66" s="63"/>
      <c r="H66" s="63"/>
      <c r="I66" s="63"/>
      <c r="J66" s="63"/>
      <c r="K66" s="63"/>
      <c r="L66" s="64"/>
    </row>
  </sheetData>
  <mergeCells count="4">
    <mergeCell ref="E49:E51"/>
    <mergeCell ref="C41:I41"/>
    <mergeCell ref="B25:C25"/>
    <mergeCell ref="B23:B24"/>
  </mergeCells>
  <conditionalFormatting sqref="C22">
    <cfRule type="cellIs" dxfId="12" priority="5" operator="equal">
      <formula>"High"</formula>
    </cfRule>
    <cfRule type="cellIs" dxfId="11" priority="6" operator="equal">
      <formula>"Medium"</formula>
    </cfRule>
    <cfRule type="cellIs" dxfId="10" priority="7" operator="equal">
      <formula>"Low"</formula>
    </cfRule>
  </conditionalFormatting>
  <conditionalFormatting sqref="C37">
    <cfRule type="cellIs" dxfId="9" priority="2" operator="equal">
      <formula>"Excellent"</formula>
    </cfRule>
    <cfRule type="cellIs" dxfId="8" priority="3" operator="equal">
      <formula>"Good"</formula>
    </cfRule>
    <cfRule type="cellIs" dxfId="7" priority="4" operator="equal">
      <formula>"Fair"</formula>
    </cfRule>
  </conditionalFormatting>
  <dataValidations disablePrompts="1" count="3">
    <dataValidation type="list" allowBlank="1" showInputMessage="1" showErrorMessage="1" sqref="C22" xr:uid="{F4282980-838A-453C-9606-A29EE1C87F72}">
      <formula1>"Low, Medium, High"</formula1>
    </dataValidation>
    <dataValidation type="list" allowBlank="1" showInputMessage="1" showErrorMessage="1" sqref="C37" xr:uid="{86752230-D154-4F66-B2F9-5A4438981BAF}">
      <formula1>"Fair, Good, Excellent"</formula1>
    </dataValidation>
    <dataValidation type="list" allowBlank="1" showInputMessage="1" showErrorMessage="1" sqref="C21" xr:uid="{4F45852F-BF30-411E-A0E1-77B0B68C0BE5}">
      <formula1>"Forecast, Evaluative"</formula1>
    </dataValidation>
  </dataValidations>
  <hyperlinks>
    <hyperlink ref="C8" r:id="rId1" xr:uid="{D7ED6DD0-D961-4F45-9A22-A265793D6870}"/>
    <hyperlink ref="C23" r:id="rId2" xr:uid="{75EE56B5-E7DB-4303-B2FD-B73B855FB914}"/>
    <hyperlink ref="C24" r:id="rId3" xr:uid="{BC6765D8-5C40-4B3B-9EEA-B8BA2A40C45D}"/>
  </hyperlinks>
  <pageMargins left="0.7" right="0.7" top="0.75" bottom="0.75" header="0.3" footer="0.3"/>
  <pageSetup paperSize="9" orientation="portrait" horizontalDpi="1200" verticalDpi="1200"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2848-7CAB-4579-ACB8-C92F4AE5DBEA}">
  <dimension ref="A1:Q88"/>
  <sheetViews>
    <sheetView showGridLines="0" tabSelected="1" zoomScale="130" zoomScaleNormal="130" workbookViewId="0">
      <selection activeCell="U47" sqref="U47"/>
    </sheetView>
  </sheetViews>
  <sheetFormatPr defaultColWidth="9.44140625" defaultRowHeight="14.4" x14ac:dyDescent="0.3"/>
  <sheetData>
    <row r="1" spans="1:17" ht="18" x14ac:dyDescent="0.35">
      <c r="A1" s="83" t="s">
        <v>145</v>
      </c>
      <c r="B1" s="86"/>
      <c r="C1" s="86"/>
      <c r="D1" s="86"/>
      <c r="E1" s="86"/>
      <c r="F1" s="86"/>
      <c r="G1" s="86"/>
      <c r="H1" s="86"/>
      <c r="I1" s="86"/>
      <c r="J1" s="86"/>
      <c r="K1" s="86"/>
      <c r="L1" s="86"/>
      <c r="M1" s="86"/>
      <c r="N1" s="86"/>
      <c r="O1" s="86"/>
      <c r="P1" s="86"/>
      <c r="Q1" s="87"/>
    </row>
    <row r="2" spans="1:17" x14ac:dyDescent="0.3">
      <c r="A2" s="69"/>
      <c r="Q2" s="68"/>
    </row>
    <row r="3" spans="1:17" x14ac:dyDescent="0.3">
      <c r="A3" s="69"/>
      <c r="Q3" s="68"/>
    </row>
    <row r="4" spans="1:17" x14ac:dyDescent="0.3">
      <c r="A4" s="69"/>
      <c r="Q4" s="68"/>
    </row>
    <row r="5" spans="1:17" x14ac:dyDescent="0.3">
      <c r="A5" s="69"/>
      <c r="Q5" s="68"/>
    </row>
    <row r="6" spans="1:17" x14ac:dyDescent="0.3">
      <c r="A6" s="69"/>
      <c r="Q6" s="68"/>
    </row>
    <row r="7" spans="1:17" x14ac:dyDescent="0.3">
      <c r="A7" s="69"/>
      <c r="Q7" s="68"/>
    </row>
    <row r="8" spans="1:17" x14ac:dyDescent="0.3">
      <c r="A8" s="69"/>
      <c r="Q8" s="68"/>
    </row>
    <row r="9" spans="1:17" x14ac:dyDescent="0.3">
      <c r="A9" s="69"/>
      <c r="Q9" s="68"/>
    </row>
    <row r="10" spans="1:17" x14ac:dyDescent="0.3">
      <c r="A10" s="69"/>
      <c r="Q10" s="68"/>
    </row>
    <row r="11" spans="1:17" x14ac:dyDescent="0.3">
      <c r="A11" s="69"/>
      <c r="Q11" s="68"/>
    </row>
    <row r="12" spans="1:17" x14ac:dyDescent="0.3">
      <c r="A12" s="69"/>
      <c r="Q12" s="68"/>
    </row>
    <row r="13" spans="1:17" x14ac:dyDescent="0.3">
      <c r="A13" s="69"/>
      <c r="Q13" s="68"/>
    </row>
    <row r="14" spans="1:17" x14ac:dyDescent="0.3">
      <c r="A14" s="69"/>
      <c r="Q14" s="68"/>
    </row>
    <row r="15" spans="1:17" x14ac:dyDescent="0.3">
      <c r="A15" s="69"/>
      <c r="Q15" s="68"/>
    </row>
    <row r="16" spans="1:17" x14ac:dyDescent="0.3">
      <c r="A16" s="69"/>
      <c r="Q16" s="68"/>
    </row>
    <row r="17" spans="1:17" x14ac:dyDescent="0.3">
      <c r="A17" s="69"/>
      <c r="Q17" s="68"/>
    </row>
    <row r="18" spans="1:17" x14ac:dyDescent="0.3">
      <c r="A18" s="69"/>
      <c r="Q18" s="68"/>
    </row>
    <row r="19" spans="1:17" x14ac:dyDescent="0.3">
      <c r="A19" s="69"/>
      <c r="Q19" s="68"/>
    </row>
    <row r="20" spans="1:17" x14ac:dyDescent="0.3">
      <c r="A20" s="69"/>
      <c r="Q20" s="68"/>
    </row>
    <row r="21" spans="1:17" x14ac:dyDescent="0.3">
      <c r="A21" s="69"/>
      <c r="Q21" s="68"/>
    </row>
    <row r="22" spans="1:17" x14ac:dyDescent="0.3">
      <c r="A22" s="69"/>
      <c r="Q22" s="68"/>
    </row>
    <row r="23" spans="1:17" x14ac:dyDescent="0.3">
      <c r="A23" s="69"/>
      <c r="Q23" s="68"/>
    </row>
    <row r="24" spans="1:17" x14ac:dyDescent="0.3">
      <c r="A24" s="69"/>
      <c r="Q24" s="68"/>
    </row>
    <row r="25" spans="1:17" x14ac:dyDescent="0.3">
      <c r="A25" s="69"/>
      <c r="Q25" s="68"/>
    </row>
    <row r="26" spans="1:17" ht="18" x14ac:dyDescent="0.35">
      <c r="A26" s="12" t="s">
        <v>146</v>
      </c>
      <c r="B26" s="7"/>
      <c r="C26" s="7"/>
      <c r="D26" s="7"/>
      <c r="E26" s="7"/>
      <c r="F26" s="7"/>
      <c r="G26" s="7"/>
      <c r="H26" s="7"/>
      <c r="I26" s="7"/>
      <c r="J26" s="7"/>
      <c r="K26" s="7"/>
      <c r="L26" s="7"/>
      <c r="M26" s="7"/>
      <c r="N26" s="7"/>
      <c r="O26" s="7"/>
      <c r="P26" s="7"/>
      <c r="Q26" s="70"/>
    </row>
    <row r="27" spans="1:17" x14ac:dyDescent="0.3">
      <c r="A27" s="69"/>
      <c r="Q27" s="68"/>
    </row>
    <row r="28" spans="1:17" x14ac:dyDescent="0.3">
      <c r="A28" s="69"/>
      <c r="Q28" s="68"/>
    </row>
    <row r="29" spans="1:17" x14ac:dyDescent="0.3">
      <c r="A29" s="69"/>
      <c r="Q29" s="68"/>
    </row>
    <row r="30" spans="1:17" x14ac:dyDescent="0.3">
      <c r="A30" s="69"/>
      <c r="Q30" s="68"/>
    </row>
    <row r="31" spans="1:17" x14ac:dyDescent="0.3">
      <c r="A31" s="69"/>
      <c r="Q31" s="68"/>
    </row>
    <row r="32" spans="1:17" x14ac:dyDescent="0.3">
      <c r="A32" s="69"/>
      <c r="Q32" s="68"/>
    </row>
    <row r="33" spans="1:17" x14ac:dyDescent="0.3">
      <c r="A33" s="69"/>
      <c r="Q33" s="68"/>
    </row>
    <row r="34" spans="1:17" x14ac:dyDescent="0.3">
      <c r="A34" s="69"/>
      <c r="Q34" s="68"/>
    </row>
    <row r="35" spans="1:17" x14ac:dyDescent="0.3">
      <c r="A35" s="69"/>
      <c r="Q35" s="68"/>
    </row>
    <row r="36" spans="1:17" x14ac:dyDescent="0.3">
      <c r="A36" s="69"/>
      <c r="Q36" s="68"/>
    </row>
    <row r="37" spans="1:17" x14ac:dyDescent="0.3">
      <c r="A37" s="69"/>
      <c r="Q37" s="68"/>
    </row>
    <row r="38" spans="1:17" x14ac:dyDescent="0.3">
      <c r="A38" s="69"/>
      <c r="Q38" s="68"/>
    </row>
    <row r="39" spans="1:17" x14ac:dyDescent="0.3">
      <c r="A39" s="69"/>
      <c r="Q39" s="68"/>
    </row>
    <row r="40" spans="1:17" x14ac:dyDescent="0.3">
      <c r="A40" s="69"/>
      <c r="Q40" s="68"/>
    </row>
    <row r="41" spans="1:17" x14ac:dyDescent="0.3">
      <c r="A41" s="69"/>
      <c r="Q41" s="68"/>
    </row>
    <row r="42" spans="1:17" x14ac:dyDescent="0.3">
      <c r="A42" s="69"/>
      <c r="Q42" s="68"/>
    </row>
    <row r="43" spans="1:17" x14ac:dyDescent="0.3">
      <c r="A43" s="69"/>
      <c r="Q43" s="68"/>
    </row>
    <row r="44" spans="1:17" x14ac:dyDescent="0.3">
      <c r="A44" s="69"/>
      <c r="Q44" s="68"/>
    </row>
    <row r="45" spans="1:17" x14ac:dyDescent="0.3">
      <c r="A45" s="69"/>
      <c r="Q45" s="68"/>
    </row>
    <row r="46" spans="1:17" x14ac:dyDescent="0.3">
      <c r="A46" s="69"/>
      <c r="Q46" s="68"/>
    </row>
    <row r="47" spans="1:17" x14ac:dyDescent="0.3">
      <c r="A47" s="69"/>
      <c r="Q47" s="68"/>
    </row>
    <row r="48" spans="1:17" x14ac:dyDescent="0.3">
      <c r="A48" s="69"/>
      <c r="Q48" s="68"/>
    </row>
    <row r="49" spans="1:17" x14ac:dyDescent="0.3">
      <c r="A49" s="69"/>
      <c r="Q49" s="68"/>
    </row>
    <row r="50" spans="1:17" x14ac:dyDescent="0.3">
      <c r="A50" s="69"/>
      <c r="Q50" s="68"/>
    </row>
    <row r="51" spans="1:17" x14ac:dyDescent="0.3">
      <c r="A51" s="69"/>
      <c r="Q51" s="68"/>
    </row>
    <row r="52" spans="1:17" x14ac:dyDescent="0.3">
      <c r="A52" s="69"/>
      <c r="Q52" s="68"/>
    </row>
    <row r="53" spans="1:17" x14ac:dyDescent="0.3">
      <c r="A53" s="69"/>
      <c r="Q53" s="68"/>
    </row>
    <row r="54" spans="1:17" ht="18" x14ac:dyDescent="0.35">
      <c r="A54" s="12" t="s">
        <v>147</v>
      </c>
      <c r="B54" s="7"/>
      <c r="C54" s="7"/>
      <c r="D54" s="7"/>
      <c r="E54" s="7"/>
      <c r="F54" s="7"/>
      <c r="G54" s="7"/>
      <c r="H54" s="7"/>
      <c r="I54" s="7"/>
      <c r="J54" s="7"/>
      <c r="K54" s="7"/>
      <c r="L54" s="7"/>
      <c r="M54" s="7"/>
      <c r="N54" s="7"/>
      <c r="O54" s="7"/>
      <c r="P54" s="7"/>
      <c r="Q54" s="70"/>
    </row>
    <row r="55" spans="1:17" x14ac:dyDescent="0.3">
      <c r="A55" s="69"/>
      <c r="Q55" s="68"/>
    </row>
    <row r="56" spans="1:17" x14ac:dyDescent="0.3">
      <c r="A56" s="69"/>
      <c r="Q56" s="68"/>
    </row>
    <row r="57" spans="1:17" x14ac:dyDescent="0.3">
      <c r="A57" s="69"/>
      <c r="Q57" s="68"/>
    </row>
    <row r="58" spans="1:17" x14ac:dyDescent="0.3">
      <c r="A58" s="69"/>
      <c r="Q58" s="68"/>
    </row>
    <row r="59" spans="1:17" x14ac:dyDescent="0.3">
      <c r="A59" s="69"/>
      <c r="Q59" s="68"/>
    </row>
    <row r="60" spans="1:17" x14ac:dyDescent="0.3">
      <c r="A60" s="69"/>
      <c r="Q60" s="68"/>
    </row>
    <row r="61" spans="1:17" x14ac:dyDescent="0.3">
      <c r="A61" s="69"/>
      <c r="Q61" s="68"/>
    </row>
    <row r="62" spans="1:17" x14ac:dyDescent="0.3">
      <c r="A62" s="69"/>
      <c r="Q62" s="68"/>
    </row>
    <row r="63" spans="1:17" x14ac:dyDescent="0.3">
      <c r="A63" s="69"/>
      <c r="Q63" s="68"/>
    </row>
    <row r="64" spans="1:17" x14ac:dyDescent="0.3">
      <c r="A64" s="69"/>
      <c r="Q64" s="68"/>
    </row>
    <row r="65" spans="1:17" x14ac:dyDescent="0.3">
      <c r="A65" s="69"/>
      <c r="Q65" s="68"/>
    </row>
    <row r="66" spans="1:17" x14ac:dyDescent="0.3">
      <c r="A66" s="69"/>
      <c r="Q66" s="68"/>
    </row>
    <row r="67" spans="1:17" x14ac:dyDescent="0.3">
      <c r="A67" s="69"/>
      <c r="Q67" s="68"/>
    </row>
    <row r="68" spans="1:17" x14ac:dyDescent="0.3">
      <c r="A68" s="69"/>
      <c r="Q68" s="68"/>
    </row>
    <row r="69" spans="1:17" x14ac:dyDescent="0.3">
      <c r="A69" s="69"/>
      <c r="Q69" s="68"/>
    </row>
    <row r="70" spans="1:17" x14ac:dyDescent="0.3">
      <c r="A70" s="69"/>
      <c r="Q70" s="68"/>
    </row>
    <row r="71" spans="1:17" x14ac:dyDescent="0.3">
      <c r="A71" s="69"/>
      <c r="Q71" s="68"/>
    </row>
    <row r="72" spans="1:17" x14ac:dyDescent="0.3">
      <c r="A72" s="69"/>
      <c r="Q72" s="68"/>
    </row>
    <row r="73" spans="1:17" x14ac:dyDescent="0.3">
      <c r="A73" s="69"/>
      <c r="Q73" s="68"/>
    </row>
    <row r="74" spans="1:17" x14ac:dyDescent="0.3">
      <c r="A74" s="69"/>
      <c r="Q74" s="68"/>
    </row>
    <row r="75" spans="1:17" x14ac:dyDescent="0.3">
      <c r="A75" s="69"/>
      <c r="Q75" s="68"/>
    </row>
    <row r="76" spans="1:17" x14ac:dyDescent="0.3">
      <c r="A76" s="69"/>
      <c r="Q76" s="68"/>
    </row>
    <row r="77" spans="1:17" x14ac:dyDescent="0.3">
      <c r="A77" s="69"/>
      <c r="Q77" s="68"/>
    </row>
    <row r="78" spans="1:17" x14ac:dyDescent="0.3">
      <c r="A78" s="69"/>
      <c r="Q78" s="68"/>
    </row>
    <row r="79" spans="1:17" x14ac:dyDescent="0.3">
      <c r="A79" s="69"/>
      <c r="Q79" s="68"/>
    </row>
    <row r="80" spans="1:17" x14ac:dyDescent="0.3">
      <c r="A80" s="69"/>
      <c r="Q80" s="68"/>
    </row>
    <row r="81" spans="1:17" x14ac:dyDescent="0.3">
      <c r="A81" s="69"/>
      <c r="Q81" s="68"/>
    </row>
    <row r="82" spans="1:17" x14ac:dyDescent="0.3">
      <c r="A82" s="69"/>
      <c r="Q82" s="68"/>
    </row>
    <row r="83" spans="1:17" x14ac:dyDescent="0.3">
      <c r="A83" s="69"/>
      <c r="Q83" s="68"/>
    </row>
    <row r="84" spans="1:17" x14ac:dyDescent="0.3">
      <c r="A84" s="69"/>
      <c r="Q84" s="68"/>
    </row>
    <row r="85" spans="1:17" x14ac:dyDescent="0.3">
      <c r="A85" s="69"/>
      <c r="Q85" s="68"/>
    </row>
    <row r="86" spans="1:17" x14ac:dyDescent="0.3">
      <c r="A86" s="69"/>
      <c r="Q86" s="68"/>
    </row>
    <row r="87" spans="1:17" x14ac:dyDescent="0.3">
      <c r="A87" s="69"/>
      <c r="Q87" s="68"/>
    </row>
    <row r="88" spans="1:17" x14ac:dyDescent="0.3">
      <c r="A88" s="71"/>
      <c r="B88" s="72"/>
      <c r="C88" s="72"/>
      <c r="D88" s="72"/>
      <c r="E88" s="72"/>
      <c r="F88" s="72"/>
      <c r="G88" s="72"/>
      <c r="H88" s="72"/>
      <c r="I88" s="72"/>
      <c r="J88" s="72"/>
      <c r="K88" s="72"/>
      <c r="L88" s="72"/>
      <c r="M88" s="72"/>
      <c r="N88" s="72"/>
      <c r="O88" s="72"/>
      <c r="P88" s="72"/>
      <c r="Q88" s="73"/>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E37F8-203B-44F8-B408-7D42B97454D4}">
  <dimension ref="A1:Q27"/>
  <sheetViews>
    <sheetView showGridLines="0" topLeftCell="A9" zoomScale="130" zoomScaleNormal="130" workbookViewId="0">
      <selection activeCell="B35" sqref="B35"/>
    </sheetView>
  </sheetViews>
  <sheetFormatPr defaultColWidth="8.5546875" defaultRowHeight="14.4" x14ac:dyDescent="0.3"/>
  <cols>
    <col min="1" max="1" width="2.44140625" customWidth="1"/>
    <col min="2" max="2" width="32.77734375" customWidth="1"/>
    <col min="3" max="3" width="23.44140625" customWidth="1"/>
    <col min="4" max="4" width="15.5546875" customWidth="1"/>
    <col min="6" max="6" width="12.5546875" customWidth="1"/>
    <col min="11" max="11" width="13.44140625" customWidth="1"/>
    <col min="15" max="16" width="10.44140625" customWidth="1"/>
  </cols>
  <sheetData>
    <row r="1" spans="1:17" ht="18" x14ac:dyDescent="0.35">
      <c r="A1" s="84"/>
      <c r="B1" s="163" t="s">
        <v>124</v>
      </c>
      <c r="C1" s="85"/>
      <c r="D1" s="84"/>
      <c r="E1" s="86"/>
      <c r="F1" s="86"/>
      <c r="G1" s="86"/>
      <c r="H1" s="86"/>
      <c r="I1" s="86"/>
      <c r="J1" s="86"/>
      <c r="K1" s="86"/>
      <c r="L1" s="86"/>
      <c r="M1" s="86"/>
      <c r="N1" s="86"/>
      <c r="O1" s="86"/>
      <c r="P1" s="86"/>
      <c r="Q1" s="87"/>
    </row>
    <row r="2" spans="1:17" ht="18" x14ac:dyDescent="0.35">
      <c r="A2" s="88"/>
      <c r="B2" s="89"/>
      <c r="C2" s="90"/>
      <c r="D2" s="91"/>
      <c r="Q2" s="68"/>
    </row>
    <row r="3" spans="1:17" ht="28.8" x14ac:dyDescent="0.3">
      <c r="A3" s="88"/>
      <c r="B3" s="184" t="s">
        <v>125</v>
      </c>
      <c r="C3" s="205" t="s">
        <v>126</v>
      </c>
      <c r="E3" s="228" t="s">
        <v>127</v>
      </c>
      <c r="F3" s="228"/>
      <c r="G3" s="228"/>
      <c r="H3" s="228"/>
      <c r="I3" s="228"/>
      <c r="J3" s="228"/>
      <c r="Q3" s="68"/>
    </row>
    <row r="4" spans="1:17" x14ac:dyDescent="0.3">
      <c r="A4" s="88"/>
      <c r="B4" s="184" t="s">
        <v>128</v>
      </c>
      <c r="C4" s="194">
        <v>2026</v>
      </c>
      <c r="E4" s="229" t="s">
        <v>129</v>
      </c>
      <c r="F4" s="229"/>
      <c r="G4" s="229"/>
      <c r="H4" s="229"/>
      <c r="I4" s="229"/>
      <c r="J4" s="229"/>
      <c r="Q4" s="68"/>
    </row>
    <row r="5" spans="1:17" x14ac:dyDescent="0.3">
      <c r="A5" s="88"/>
      <c r="B5" s="184" t="s">
        <v>130</v>
      </c>
      <c r="C5" s="194">
        <v>2021</v>
      </c>
      <c r="E5" s="230" t="s">
        <v>131</v>
      </c>
      <c r="F5" s="230"/>
      <c r="G5" s="230"/>
      <c r="H5" s="230"/>
      <c r="I5" s="230"/>
      <c r="J5" s="230"/>
      <c r="Q5" s="68"/>
    </row>
    <row r="6" spans="1:17" x14ac:dyDescent="0.3">
      <c r="A6" s="88"/>
      <c r="B6" s="184" t="s">
        <v>132</v>
      </c>
      <c r="C6" s="194" t="s">
        <v>133</v>
      </c>
      <c r="Q6" s="68"/>
    </row>
    <row r="7" spans="1:17" x14ac:dyDescent="0.3">
      <c r="A7" s="69"/>
      <c r="Q7" s="68"/>
    </row>
    <row r="8" spans="1:17" ht="18" x14ac:dyDescent="0.35">
      <c r="A8" s="92"/>
      <c r="B8" s="162" t="s">
        <v>134</v>
      </c>
      <c r="C8" s="92"/>
      <c r="D8" s="92"/>
      <c r="E8" s="92"/>
      <c r="F8" s="92"/>
      <c r="G8" s="92"/>
      <c r="H8" s="92"/>
      <c r="I8" s="92"/>
      <c r="J8" s="92"/>
      <c r="K8" s="92"/>
      <c r="L8" s="92"/>
      <c r="M8" s="92"/>
      <c r="N8" s="92"/>
      <c r="O8" s="92"/>
      <c r="P8" s="92"/>
      <c r="Q8" s="93"/>
    </row>
    <row r="9" spans="1:17" x14ac:dyDescent="0.3">
      <c r="A9" s="69"/>
      <c r="Q9" s="68"/>
    </row>
    <row r="10" spans="1:17" ht="21" customHeight="1" x14ac:dyDescent="0.3">
      <c r="A10" s="69"/>
      <c r="B10" s="181" t="s">
        <v>60</v>
      </c>
      <c r="C10" s="195">
        <v>0.1</v>
      </c>
      <c r="Q10" s="68"/>
    </row>
    <row r="11" spans="1:17" x14ac:dyDescent="0.3">
      <c r="A11" s="69"/>
      <c r="Q11" s="68"/>
    </row>
    <row r="12" spans="1:17" ht="18" x14ac:dyDescent="0.35">
      <c r="A12" s="7"/>
      <c r="B12" s="162" t="s">
        <v>135</v>
      </c>
      <c r="C12" s="7"/>
      <c r="D12" s="7"/>
      <c r="E12" s="7"/>
      <c r="F12" s="7"/>
      <c r="G12" s="7"/>
      <c r="H12" s="7"/>
      <c r="I12" s="7"/>
      <c r="J12" s="7"/>
      <c r="K12" s="7"/>
      <c r="L12" s="7"/>
      <c r="M12" s="7"/>
      <c r="N12" s="7"/>
      <c r="O12" s="7"/>
      <c r="P12" s="7"/>
      <c r="Q12" s="70"/>
    </row>
    <row r="13" spans="1:17" x14ac:dyDescent="0.3">
      <c r="A13" s="69"/>
      <c r="Q13" s="68"/>
    </row>
    <row r="14" spans="1:17" ht="15.6" x14ac:dyDescent="0.3">
      <c r="A14" s="69"/>
      <c r="B14" s="156" t="s">
        <v>136</v>
      </c>
      <c r="Q14" s="68"/>
    </row>
    <row r="15" spans="1:17" x14ac:dyDescent="0.3">
      <c r="A15" s="69"/>
      <c r="B15" s="176" t="s">
        <v>81</v>
      </c>
      <c r="C15" s="197">
        <v>2021</v>
      </c>
      <c r="D15" s="197">
        <v>2022</v>
      </c>
      <c r="E15" s="197">
        <v>2023</v>
      </c>
      <c r="F15" s="197">
        <v>2024</v>
      </c>
      <c r="G15" s="197">
        <v>2025</v>
      </c>
      <c r="H15" s="197">
        <v>2026</v>
      </c>
      <c r="I15" s="197">
        <v>2027</v>
      </c>
      <c r="J15" s="197">
        <v>2028</v>
      </c>
      <c r="Q15" s="68"/>
    </row>
    <row r="16" spans="1:17" x14ac:dyDescent="0.3">
      <c r="A16" s="69"/>
      <c r="B16" s="177" t="s">
        <v>137</v>
      </c>
      <c r="C16" s="210">
        <v>205.33099999999999</v>
      </c>
      <c r="D16" s="210">
        <v>273.80799999999999</v>
      </c>
      <c r="E16" s="210">
        <v>361.96699999999998</v>
      </c>
      <c r="F16" s="210">
        <v>451.31900000000002</v>
      </c>
      <c r="G16" s="183">
        <v>558.38199999999995</v>
      </c>
      <c r="H16" s="183">
        <v>664.71799999999996</v>
      </c>
      <c r="I16" s="183">
        <v>751.48199999999997</v>
      </c>
      <c r="J16" s="183">
        <v>840.68700000000001</v>
      </c>
      <c r="Q16" s="68"/>
    </row>
    <row r="17" spans="1:17" x14ac:dyDescent="0.3">
      <c r="A17" s="69"/>
      <c r="B17" s="177" t="s">
        <v>138</v>
      </c>
      <c r="C17" s="210">
        <v>102.80500000000001</v>
      </c>
      <c r="D17" s="210">
        <v>109.071</v>
      </c>
      <c r="E17" s="210">
        <v>115.768</v>
      </c>
      <c r="F17" s="210">
        <v>119.355</v>
      </c>
      <c r="G17" s="183">
        <v>122.208</v>
      </c>
      <c r="H17" s="183">
        <v>124.669</v>
      </c>
      <c r="I17" s="183">
        <v>127.31100000000001</v>
      </c>
      <c r="J17" s="183">
        <v>130.05199999999999</v>
      </c>
      <c r="Q17" s="68"/>
    </row>
    <row r="18" spans="1:17" x14ac:dyDescent="0.3">
      <c r="A18" s="69"/>
      <c r="B18" s="177" t="s">
        <v>139</v>
      </c>
      <c r="C18" s="210">
        <v>110.172</v>
      </c>
      <c r="D18" s="210">
        <v>118.026</v>
      </c>
      <c r="E18" s="210">
        <v>122.274</v>
      </c>
      <c r="F18" s="210">
        <v>125.23</v>
      </c>
      <c r="G18" s="183">
        <v>128.55699999999999</v>
      </c>
      <c r="H18" s="183">
        <v>131.36600000000001</v>
      </c>
      <c r="I18" s="183">
        <v>133.78399999999999</v>
      </c>
      <c r="J18" s="183">
        <v>136.57400000000001</v>
      </c>
      <c r="Q18" s="68"/>
    </row>
    <row r="19" spans="1:17" x14ac:dyDescent="0.3">
      <c r="A19" s="69"/>
      <c r="B19" s="179" t="s">
        <v>140</v>
      </c>
      <c r="Q19" s="68"/>
    </row>
    <row r="20" spans="1:17" x14ac:dyDescent="0.3">
      <c r="A20" s="69"/>
      <c r="B20" s="1"/>
      <c r="Q20" s="68"/>
    </row>
    <row r="21" spans="1:17" ht="15.6" x14ac:dyDescent="0.3">
      <c r="A21" s="69"/>
      <c r="B21" s="156" t="s">
        <v>141</v>
      </c>
      <c r="Q21" s="68"/>
    </row>
    <row r="22" spans="1:17" x14ac:dyDescent="0.3">
      <c r="A22" s="69"/>
      <c r="B22" s="178" t="s">
        <v>81</v>
      </c>
      <c r="C22" s="198">
        <v>2021</v>
      </c>
      <c r="D22" s="94"/>
      <c r="Q22" s="68"/>
    </row>
    <row r="23" spans="1:17" x14ac:dyDescent="0.3">
      <c r="A23" s="69"/>
      <c r="B23" s="2" t="s">
        <v>142</v>
      </c>
      <c r="C23" s="147">
        <v>1.9400000000000001E-2</v>
      </c>
      <c r="D23" s="95"/>
      <c r="Q23" s="68"/>
    </row>
    <row r="24" spans="1:17" x14ac:dyDescent="0.3">
      <c r="A24" s="69"/>
      <c r="B24" s="2" t="s">
        <v>143</v>
      </c>
      <c r="C24" s="196">
        <v>0.84589999999999999</v>
      </c>
      <c r="Q24" s="68"/>
    </row>
    <row r="25" spans="1:17" x14ac:dyDescent="0.3">
      <c r="A25" s="69"/>
      <c r="B25" s="180" t="s">
        <v>144</v>
      </c>
      <c r="C25" s="165"/>
      <c r="Q25" s="68"/>
    </row>
    <row r="26" spans="1:17" ht="13.5" customHeight="1" x14ac:dyDescent="0.3">
      <c r="A26" s="69"/>
      <c r="B26" s="180"/>
      <c r="C26" s="165"/>
      <c r="Q26" s="68"/>
    </row>
    <row r="27" spans="1:17" x14ac:dyDescent="0.3">
      <c r="A27" s="71"/>
      <c r="B27" s="182" t="s">
        <v>58</v>
      </c>
      <c r="C27" s="72"/>
      <c r="D27" s="72"/>
      <c r="E27" s="72"/>
      <c r="F27" s="72"/>
      <c r="G27" s="72"/>
      <c r="H27" s="72"/>
      <c r="I27" s="72"/>
      <c r="J27" s="72"/>
      <c r="K27" s="72"/>
      <c r="L27" s="72"/>
      <c r="M27" s="72"/>
      <c r="N27" s="72"/>
      <c r="O27" s="72"/>
      <c r="P27" s="72"/>
      <c r="Q27" s="73"/>
    </row>
  </sheetData>
  <mergeCells count="3">
    <mergeCell ref="E3:J3"/>
    <mergeCell ref="E4:J4"/>
    <mergeCell ref="E5:J5"/>
  </mergeCells>
  <hyperlinks>
    <hyperlink ref="B19" r:id="rId1" xr:uid="{1CEACAB3-A9FC-488F-BA74-F76939C2A8D6}"/>
    <hyperlink ref="B25" r:id="rId2" xr:uid="{0390BA38-43DB-42AB-A081-75858E0591C2}"/>
  </hyperlinks>
  <pageMargins left="0.7" right="0.7" top="0.75" bottom="0.75" header="0.3" footer="0.3"/>
  <pageSetup paperSize="9" orientation="portrait" horizontalDpi="1200" verticalDpi="1200"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AE64-E7BA-4BC7-8063-056CA3FE865E}">
  <dimension ref="A1:O120"/>
  <sheetViews>
    <sheetView showGridLines="0" topLeftCell="B23" zoomScale="106" zoomScaleNormal="106" workbookViewId="0">
      <selection activeCell="B40" sqref="B40"/>
    </sheetView>
  </sheetViews>
  <sheetFormatPr defaultColWidth="11.44140625" defaultRowHeight="14.4" x14ac:dyDescent="0.3"/>
  <cols>
    <col min="1" max="1" width="3.21875" customWidth="1"/>
    <col min="2" max="2" width="63" customWidth="1"/>
    <col min="3" max="3" width="51.77734375" customWidth="1"/>
    <col min="4" max="4" width="24" customWidth="1"/>
    <col min="5" max="5" width="18" customWidth="1"/>
    <col min="6" max="6" width="18.44140625" customWidth="1"/>
    <col min="7" max="7" width="22.44140625" customWidth="1"/>
    <col min="8" max="8" width="17.44140625" customWidth="1"/>
    <col min="9" max="9" width="21.5546875" customWidth="1"/>
    <col min="10" max="10" width="21" customWidth="1"/>
    <col min="11" max="11" width="17.44140625" customWidth="1"/>
    <col min="12" max="12" width="19.44140625" customWidth="1"/>
    <col min="13" max="13" width="20.44140625" customWidth="1"/>
    <col min="14" max="14" width="18.44140625" customWidth="1"/>
    <col min="15" max="15" width="15.44140625" customWidth="1"/>
  </cols>
  <sheetData>
    <row r="1" spans="1:15" ht="18" x14ac:dyDescent="0.35">
      <c r="A1" s="115"/>
      <c r="B1" s="162" t="s">
        <v>59</v>
      </c>
      <c r="C1" s="115"/>
      <c r="D1" s="116"/>
      <c r="E1" s="117"/>
      <c r="F1" s="7"/>
      <c r="G1" s="7"/>
      <c r="H1" s="7"/>
      <c r="I1" s="7"/>
      <c r="J1" s="7"/>
      <c r="K1" s="7"/>
      <c r="L1" s="7"/>
      <c r="M1" s="7"/>
      <c r="N1" s="7"/>
      <c r="O1" s="70"/>
    </row>
    <row r="2" spans="1:15" ht="18.600000000000001" thickBot="1" x14ac:dyDescent="0.4">
      <c r="B2" s="89"/>
      <c r="C2" s="118"/>
      <c r="D2" s="90"/>
      <c r="E2" s="91"/>
      <c r="F2" s="89"/>
      <c r="G2" s="89"/>
      <c r="H2" s="89"/>
      <c r="I2" s="89"/>
      <c r="J2" s="89"/>
      <c r="K2" s="89"/>
      <c r="L2" s="89"/>
      <c r="M2" s="89"/>
      <c r="N2" s="89"/>
      <c r="O2" s="109"/>
    </row>
    <row r="3" spans="1:15" ht="18.600000000000001" thickBot="1" x14ac:dyDescent="0.4">
      <c r="B3" s="202" t="s">
        <v>60</v>
      </c>
      <c r="C3" s="201">
        <v>0.1</v>
      </c>
      <c r="D3" s="90"/>
      <c r="E3" s="91" t="s">
        <v>61</v>
      </c>
      <c r="F3" s="89"/>
      <c r="G3" s="89"/>
      <c r="H3" s="89"/>
      <c r="I3" s="89"/>
      <c r="J3" s="89"/>
      <c r="K3" s="89"/>
      <c r="L3" s="89"/>
      <c r="M3" s="89"/>
      <c r="N3" s="89"/>
      <c r="O3" s="109"/>
    </row>
    <row r="4" spans="1:15" ht="18.600000000000001" thickBot="1" x14ac:dyDescent="0.4">
      <c r="B4" s="157"/>
      <c r="C4" s="157"/>
      <c r="D4" s="119"/>
      <c r="E4" s="91"/>
      <c r="F4" s="89"/>
      <c r="G4" s="89"/>
      <c r="H4" s="89"/>
      <c r="I4" s="89"/>
      <c r="J4" s="89"/>
      <c r="K4" s="89"/>
      <c r="L4" s="89"/>
      <c r="M4" s="89"/>
      <c r="N4" s="89"/>
      <c r="O4" s="109"/>
    </row>
    <row r="5" spans="1:15" ht="18.600000000000001" thickBot="1" x14ac:dyDescent="0.4">
      <c r="B5" s="202" t="s">
        <v>62</v>
      </c>
      <c r="C5" s="201" t="s">
        <v>63</v>
      </c>
      <c r="D5" s="119">
        <f>IF(C5="No",0,1)</f>
        <v>0</v>
      </c>
      <c r="E5" s="91"/>
      <c r="F5" s="89"/>
      <c r="G5" s="89"/>
      <c r="H5" s="89"/>
      <c r="I5" s="89"/>
      <c r="J5" s="89"/>
      <c r="K5" s="89"/>
      <c r="L5" s="89"/>
      <c r="M5" s="89"/>
      <c r="N5" s="89"/>
      <c r="O5" s="109"/>
    </row>
    <row r="6" spans="1:15" ht="18.600000000000001" thickBot="1" x14ac:dyDescent="0.4">
      <c r="B6" s="157"/>
      <c r="C6" s="113"/>
      <c r="D6" s="90"/>
      <c r="E6" s="91"/>
      <c r="F6" s="89"/>
      <c r="G6" s="89"/>
      <c r="H6" s="89"/>
      <c r="I6" s="89"/>
      <c r="J6" s="89"/>
      <c r="K6" s="89"/>
      <c r="L6" s="89"/>
      <c r="M6" s="89"/>
      <c r="N6" s="89"/>
      <c r="O6" s="109"/>
    </row>
    <row r="7" spans="1:15" ht="18.600000000000001" thickBot="1" x14ac:dyDescent="0.4">
      <c r="B7" s="202" t="s">
        <v>155</v>
      </c>
      <c r="C7" s="201">
        <v>0.14000000000000001</v>
      </c>
      <c r="D7" s="119">
        <f>1+C7</f>
        <v>1.1400000000000001</v>
      </c>
      <c r="E7" s="91"/>
      <c r="F7" s="89"/>
      <c r="G7" s="89"/>
      <c r="H7" s="89"/>
      <c r="I7" s="89"/>
      <c r="J7" s="89"/>
      <c r="K7" s="89"/>
      <c r="L7" s="89"/>
      <c r="M7" s="89"/>
      <c r="N7" s="89"/>
      <c r="O7" s="109"/>
    </row>
    <row r="8" spans="1:15" ht="21" x14ac:dyDescent="0.4">
      <c r="B8" s="158"/>
      <c r="C8" s="120"/>
      <c r="O8" s="68"/>
    </row>
    <row r="9" spans="1:15" ht="21" x14ac:dyDescent="0.4">
      <c r="B9" s="214" t="s">
        <v>64</v>
      </c>
      <c r="C9" s="214"/>
      <c r="D9" s="214"/>
      <c r="E9" s="214"/>
      <c r="O9" s="68"/>
    </row>
    <row r="10" spans="1:15" ht="16.2" thickBot="1" x14ac:dyDescent="0.35">
      <c r="B10" s="160" t="s">
        <v>65</v>
      </c>
      <c r="C10" s="5" t="s">
        <v>66</v>
      </c>
      <c r="D10" s="5" t="s">
        <v>67</v>
      </c>
      <c r="E10" s="5" t="s">
        <v>68</v>
      </c>
      <c r="F10" s="142" t="s">
        <v>69</v>
      </c>
      <c r="O10" s="68"/>
    </row>
    <row r="11" spans="1:15" ht="15" thickBot="1" x14ac:dyDescent="0.35">
      <c r="B11" s="188" t="s">
        <v>70</v>
      </c>
      <c r="C11" s="190">
        <v>135524.5</v>
      </c>
      <c r="D11" s="189" t="s">
        <v>71</v>
      </c>
      <c r="E11" s="141" t="s">
        <v>72</v>
      </c>
      <c r="F11" s="143" t="s">
        <v>73</v>
      </c>
      <c r="G11" t="s">
        <v>74</v>
      </c>
      <c r="O11" s="68"/>
    </row>
    <row r="12" spans="1:15" ht="15" thickBot="1" x14ac:dyDescent="0.35">
      <c r="B12" s="145" t="s">
        <v>75</v>
      </c>
      <c r="C12" s="192">
        <f>C11/('Model input'!$E$16/'Model input'!$H$16)</f>
        <v>248877.86618945928</v>
      </c>
      <c r="D12" s="144"/>
      <c r="E12" s="144"/>
      <c r="F12" s="144"/>
      <c r="J12" s="146"/>
      <c r="K12" s="146"/>
      <c r="O12" s="68"/>
    </row>
    <row r="13" spans="1:15" s="107" customFormat="1" ht="15" thickBot="1" x14ac:dyDescent="0.35">
      <c r="B13" s="188" t="s">
        <v>76</v>
      </c>
      <c r="C13" s="199">
        <v>7.0000000000000007E-2</v>
      </c>
      <c r="D13" s="189" t="s">
        <v>77</v>
      </c>
      <c r="E13" s="187" t="s">
        <v>30</v>
      </c>
      <c r="F13" s="106" t="s">
        <v>78</v>
      </c>
      <c r="G13" t="s">
        <v>74</v>
      </c>
      <c r="H13"/>
      <c r="I13"/>
      <c r="O13" s="108"/>
    </row>
    <row r="14" spans="1:15" s="107" customFormat="1" ht="15" thickBot="1" x14ac:dyDescent="0.35">
      <c r="B14" s="188" t="s">
        <v>79</v>
      </c>
      <c r="C14" s="200">
        <v>40.5</v>
      </c>
      <c r="D14" s="189"/>
      <c r="E14" s="187" t="s">
        <v>30</v>
      </c>
      <c r="F14" s="106" t="s">
        <v>80</v>
      </c>
      <c r="G14" t="s">
        <v>74</v>
      </c>
      <c r="H14"/>
      <c r="I14"/>
      <c r="O14" s="108"/>
    </row>
    <row r="15" spans="1:15" x14ac:dyDescent="0.3">
      <c r="B15" s="81"/>
      <c r="C15" s="81"/>
      <c r="D15" s="81"/>
      <c r="O15" s="68"/>
    </row>
    <row r="16" spans="1:15" s="28" customFormat="1" ht="18" x14ac:dyDescent="0.35">
      <c r="A16" s="115"/>
      <c r="B16" s="162" t="s">
        <v>156</v>
      </c>
      <c r="F16" s="98"/>
      <c r="O16" s="99"/>
    </row>
    <row r="17" spans="2:15" ht="18" x14ac:dyDescent="0.35">
      <c r="B17" s="89"/>
      <c r="F17" s="100"/>
      <c r="O17" s="68"/>
    </row>
    <row r="18" spans="2:15" ht="15.6" x14ac:dyDescent="0.3">
      <c r="B18" s="160" t="s">
        <v>91</v>
      </c>
      <c r="C18" s="9" t="s">
        <v>92</v>
      </c>
      <c r="D18" s="9" t="s">
        <v>93</v>
      </c>
      <c r="E18" s="1"/>
      <c r="F18" s="101"/>
      <c r="G18" s="1"/>
      <c r="H18" s="1"/>
      <c r="I18" s="1"/>
      <c r="J18" s="1"/>
      <c r="K18" s="1"/>
      <c r="L18" s="1"/>
      <c r="M18" s="1"/>
      <c r="O18" s="68"/>
    </row>
    <row r="19" spans="2:15" x14ac:dyDescent="0.3">
      <c r="B19" s="133" t="s">
        <v>94</v>
      </c>
      <c r="C19" s="102">
        <f>$C$24/5</f>
        <v>1620</v>
      </c>
      <c r="D19" s="102"/>
      <c r="E19" s="1"/>
      <c r="F19" s="101"/>
      <c r="G19" s="1"/>
      <c r="H19" s="1"/>
      <c r="I19" s="1"/>
      <c r="J19" s="1"/>
      <c r="K19" s="1"/>
      <c r="L19" s="1"/>
      <c r="M19" s="1"/>
      <c r="O19" s="68"/>
    </row>
    <row r="20" spans="2:15" x14ac:dyDescent="0.3">
      <c r="B20" s="133" t="s">
        <v>95</v>
      </c>
      <c r="C20" s="102">
        <f>$C$24/5</f>
        <v>1620</v>
      </c>
      <c r="D20" s="102"/>
      <c r="E20" s="1"/>
      <c r="F20" s="101"/>
      <c r="G20" s="1"/>
      <c r="H20" s="1"/>
      <c r="I20" s="1"/>
      <c r="J20" s="1"/>
      <c r="K20" s="1"/>
      <c r="L20" s="1"/>
      <c r="M20" s="1"/>
      <c r="O20" s="68"/>
    </row>
    <row r="21" spans="2:15" x14ac:dyDescent="0.3">
      <c r="B21" s="133" t="s">
        <v>96</v>
      </c>
      <c r="C21" s="102">
        <f>$C$24/5</f>
        <v>1620</v>
      </c>
      <c r="D21" s="102"/>
      <c r="E21" s="1"/>
      <c r="F21" s="101"/>
      <c r="G21" s="1"/>
      <c r="H21" s="1"/>
      <c r="I21" s="1"/>
      <c r="J21" s="1"/>
      <c r="K21" s="1"/>
      <c r="L21" s="1"/>
      <c r="M21" s="1"/>
      <c r="O21" s="68"/>
    </row>
    <row r="22" spans="2:15" x14ac:dyDescent="0.3">
      <c r="B22" s="133" t="s">
        <v>97</v>
      </c>
      <c r="C22" s="102">
        <f>$C$24/5</f>
        <v>1620</v>
      </c>
      <c r="D22" s="102"/>
      <c r="E22" s="122"/>
      <c r="F22" s="101"/>
      <c r="G22" s="1"/>
      <c r="H22" s="1"/>
      <c r="I22" s="1"/>
      <c r="J22" s="1"/>
      <c r="K22" s="1"/>
      <c r="L22" s="1"/>
      <c r="M22" s="1"/>
      <c r="O22" s="68"/>
    </row>
    <row r="23" spans="2:15" x14ac:dyDescent="0.3">
      <c r="B23" s="133" t="s">
        <v>98</v>
      </c>
      <c r="C23" s="102">
        <f>$C$24/5</f>
        <v>1620</v>
      </c>
      <c r="D23" s="102"/>
      <c r="E23" s="1"/>
      <c r="F23" s="101"/>
      <c r="G23" s="1"/>
      <c r="H23" s="1"/>
      <c r="I23" s="1"/>
      <c r="J23" s="1"/>
      <c r="K23" s="1"/>
      <c r="L23" s="1"/>
      <c r="M23" s="1"/>
      <c r="O23" s="68"/>
    </row>
    <row r="24" spans="2:15" x14ac:dyDescent="0.3">
      <c r="B24" s="133" t="s">
        <v>99</v>
      </c>
      <c r="C24" s="6">
        <v>8100</v>
      </c>
      <c r="D24" s="103">
        <f>SUM(D19:D23)</f>
        <v>0</v>
      </c>
      <c r="E24" s="1"/>
      <c r="F24" s="101"/>
      <c r="G24" s="1"/>
      <c r="H24" s="1"/>
      <c r="I24" s="1"/>
      <c r="J24" s="1"/>
      <c r="K24" s="1"/>
      <c r="L24" s="1"/>
      <c r="M24" s="1"/>
      <c r="O24" s="68"/>
    </row>
    <row r="25" spans="2:15" x14ac:dyDescent="0.3">
      <c r="B25" s="81"/>
      <c r="C25" s="1"/>
      <c r="D25" s="1"/>
      <c r="E25" s="1"/>
      <c r="F25" s="104"/>
      <c r="G25" s="1"/>
      <c r="H25" s="1"/>
      <c r="I25" s="1"/>
      <c r="J25" s="1"/>
      <c r="K25" s="1"/>
      <c r="L25" s="1"/>
      <c r="M25" s="1"/>
      <c r="O25" s="68"/>
    </row>
    <row r="26" spans="2:15" s="152" customFormat="1" ht="15.6" x14ac:dyDescent="0.3">
      <c r="B26" s="215" t="s">
        <v>100</v>
      </c>
      <c r="C26" s="148" t="s">
        <v>101</v>
      </c>
      <c r="D26" s="149"/>
      <c r="E26" s="149"/>
      <c r="F26" s="150" t="s">
        <v>102</v>
      </c>
      <c r="G26" s="149"/>
      <c r="H26" s="149"/>
      <c r="I26" s="149"/>
      <c r="J26" s="149"/>
      <c r="K26" s="149"/>
      <c r="L26" s="149"/>
      <c r="M26" s="151"/>
      <c r="O26" s="153"/>
    </row>
    <row r="27" spans="2:15" s="152" customFormat="1" ht="15.6" x14ac:dyDescent="0.3">
      <c r="B27" s="215"/>
      <c r="C27" s="154">
        <v>2026</v>
      </c>
      <c r="D27" s="154">
        <v>2027</v>
      </c>
      <c r="E27" s="154">
        <v>2028</v>
      </c>
      <c r="F27" s="154">
        <v>2029</v>
      </c>
      <c r="G27" s="154">
        <v>2030</v>
      </c>
      <c r="H27" s="154">
        <v>2031</v>
      </c>
      <c r="I27" s="154">
        <v>2032</v>
      </c>
      <c r="J27" s="154">
        <v>2033</v>
      </c>
      <c r="K27" s="154">
        <v>2034</v>
      </c>
      <c r="L27" s="155">
        <v>2035</v>
      </c>
      <c r="M27" s="154">
        <v>2036</v>
      </c>
      <c r="O27" s="153"/>
    </row>
    <row r="28" spans="2:15" x14ac:dyDescent="0.3">
      <c r="B28" s="133">
        <v>1</v>
      </c>
      <c r="C28" s="105">
        <f>C19+C20</f>
        <v>3240</v>
      </c>
      <c r="D28" s="105">
        <f>C21+C22+C23</f>
        <v>4860</v>
      </c>
      <c r="E28" s="105">
        <v>0</v>
      </c>
      <c r="F28" s="102">
        <v>0</v>
      </c>
      <c r="G28" s="102">
        <v>0</v>
      </c>
      <c r="H28" s="102">
        <v>0</v>
      </c>
      <c r="I28" s="102">
        <v>0</v>
      </c>
      <c r="J28" s="102">
        <v>0</v>
      </c>
      <c r="K28" s="102">
        <v>0</v>
      </c>
      <c r="L28" s="102">
        <v>0</v>
      </c>
      <c r="M28" s="102">
        <v>0</v>
      </c>
      <c r="O28" s="68"/>
    </row>
    <row r="29" spans="2:15" x14ac:dyDescent="0.3">
      <c r="B29" s="133">
        <v>2</v>
      </c>
      <c r="C29" s="105">
        <v>0</v>
      </c>
      <c r="D29" s="105">
        <f>C28</f>
        <v>3240</v>
      </c>
      <c r="E29" s="105">
        <f t="shared" ref="E29:M32" si="0">D28</f>
        <v>4860</v>
      </c>
      <c r="F29" s="102">
        <f t="shared" si="0"/>
        <v>0</v>
      </c>
      <c r="G29" s="102">
        <f t="shared" si="0"/>
        <v>0</v>
      </c>
      <c r="H29" s="102">
        <f t="shared" si="0"/>
        <v>0</v>
      </c>
      <c r="I29" s="102">
        <f t="shared" si="0"/>
        <v>0</v>
      </c>
      <c r="J29" s="102">
        <f t="shared" si="0"/>
        <v>0</v>
      </c>
      <c r="K29" s="102">
        <f t="shared" si="0"/>
        <v>0</v>
      </c>
      <c r="L29" s="102">
        <f t="shared" si="0"/>
        <v>0</v>
      </c>
      <c r="M29" s="102">
        <f t="shared" si="0"/>
        <v>0</v>
      </c>
      <c r="O29" s="68"/>
    </row>
    <row r="30" spans="2:15" x14ac:dyDescent="0.3">
      <c r="B30" s="133">
        <v>3</v>
      </c>
      <c r="C30" s="105">
        <v>0</v>
      </c>
      <c r="D30" s="105">
        <f t="shared" ref="D30:D31" si="1">D23</f>
        <v>0</v>
      </c>
      <c r="E30" s="105">
        <f t="shared" si="0"/>
        <v>3240</v>
      </c>
      <c r="F30" s="102">
        <f t="shared" si="0"/>
        <v>4860</v>
      </c>
      <c r="G30" s="102">
        <f t="shared" si="0"/>
        <v>0</v>
      </c>
      <c r="H30" s="102">
        <f t="shared" si="0"/>
        <v>0</v>
      </c>
      <c r="I30" s="102">
        <f t="shared" si="0"/>
        <v>0</v>
      </c>
      <c r="J30" s="102">
        <f t="shared" si="0"/>
        <v>0</v>
      </c>
      <c r="K30" s="102">
        <f t="shared" si="0"/>
        <v>0</v>
      </c>
      <c r="L30" s="102">
        <f t="shared" si="0"/>
        <v>0</v>
      </c>
      <c r="M30" s="102">
        <f t="shared" si="0"/>
        <v>0</v>
      </c>
      <c r="O30" s="68"/>
    </row>
    <row r="31" spans="2:15" x14ac:dyDescent="0.3">
      <c r="B31" s="133">
        <v>4</v>
      </c>
      <c r="C31" s="105">
        <v>0</v>
      </c>
      <c r="D31" s="105">
        <f t="shared" si="1"/>
        <v>0</v>
      </c>
      <c r="E31" s="105">
        <f>E24</f>
        <v>0</v>
      </c>
      <c r="F31" s="102">
        <f t="shared" si="0"/>
        <v>3240</v>
      </c>
      <c r="G31" s="102">
        <f t="shared" si="0"/>
        <v>4860</v>
      </c>
      <c r="H31" s="102">
        <f t="shared" si="0"/>
        <v>0</v>
      </c>
      <c r="I31" s="102">
        <f t="shared" si="0"/>
        <v>0</v>
      </c>
      <c r="J31" s="102">
        <f t="shared" si="0"/>
        <v>0</v>
      </c>
      <c r="K31" s="102">
        <f t="shared" si="0"/>
        <v>0</v>
      </c>
      <c r="L31" s="102">
        <f t="shared" si="0"/>
        <v>0</v>
      </c>
      <c r="M31" s="102">
        <f t="shared" si="0"/>
        <v>0</v>
      </c>
      <c r="O31" s="68"/>
    </row>
    <row r="32" spans="2:15" x14ac:dyDescent="0.3">
      <c r="B32" s="133">
        <v>5</v>
      </c>
      <c r="C32" s="105">
        <f>C25</f>
        <v>0</v>
      </c>
      <c r="D32" s="105">
        <f>D25</f>
        <v>0</v>
      </c>
      <c r="E32" s="105">
        <f>E25</f>
        <v>0</v>
      </c>
      <c r="F32" s="102">
        <f>F25</f>
        <v>0</v>
      </c>
      <c r="G32" s="102">
        <f t="shared" si="0"/>
        <v>3240</v>
      </c>
      <c r="H32" s="102">
        <f t="shared" si="0"/>
        <v>4860</v>
      </c>
      <c r="I32" s="102">
        <f t="shared" si="0"/>
        <v>0</v>
      </c>
      <c r="J32" s="102">
        <f t="shared" si="0"/>
        <v>0</v>
      </c>
      <c r="K32" s="102">
        <f t="shared" si="0"/>
        <v>0</v>
      </c>
      <c r="L32" s="102">
        <f t="shared" si="0"/>
        <v>0</v>
      </c>
      <c r="M32" s="102">
        <f t="shared" si="0"/>
        <v>0</v>
      </c>
      <c r="O32" s="68"/>
    </row>
    <row r="33" spans="1:15" x14ac:dyDescent="0.3">
      <c r="B33" s="133">
        <v>6</v>
      </c>
      <c r="C33" s="105">
        <v>0</v>
      </c>
      <c r="D33" s="105">
        <v>0</v>
      </c>
      <c r="E33" s="105">
        <v>0</v>
      </c>
      <c r="F33" s="102">
        <v>0</v>
      </c>
      <c r="G33" s="102">
        <v>0</v>
      </c>
      <c r="H33" s="102">
        <f t="shared" ref="H33:M33" si="2">G32</f>
        <v>3240</v>
      </c>
      <c r="I33" s="102">
        <f t="shared" si="2"/>
        <v>4860</v>
      </c>
      <c r="J33" s="102">
        <f t="shared" si="2"/>
        <v>0</v>
      </c>
      <c r="K33" s="102">
        <f t="shared" si="2"/>
        <v>0</v>
      </c>
      <c r="L33" s="102">
        <f t="shared" si="2"/>
        <v>0</v>
      </c>
      <c r="M33" s="102">
        <f t="shared" si="2"/>
        <v>0</v>
      </c>
      <c r="O33" s="68"/>
    </row>
    <row r="34" spans="1:15" x14ac:dyDescent="0.3">
      <c r="B34" s="133">
        <v>7</v>
      </c>
      <c r="C34" s="105">
        <v>0</v>
      </c>
      <c r="D34" s="105">
        <v>0</v>
      </c>
      <c r="E34" s="105">
        <v>0</v>
      </c>
      <c r="F34" s="102">
        <v>0</v>
      </c>
      <c r="G34" s="102">
        <v>0</v>
      </c>
      <c r="H34" s="102">
        <v>0</v>
      </c>
      <c r="I34" s="102">
        <f>H33</f>
        <v>3240</v>
      </c>
      <c r="J34" s="102">
        <f>I33</f>
        <v>4860</v>
      </c>
      <c r="K34" s="102">
        <f>J33</f>
        <v>0</v>
      </c>
      <c r="L34" s="102">
        <f>K33</f>
        <v>0</v>
      </c>
      <c r="M34" s="102">
        <f>L33</f>
        <v>0</v>
      </c>
      <c r="O34" s="68"/>
    </row>
    <row r="35" spans="1:15" x14ac:dyDescent="0.3">
      <c r="B35" s="133">
        <v>8</v>
      </c>
      <c r="C35" s="105">
        <v>0</v>
      </c>
      <c r="D35" s="105">
        <v>0</v>
      </c>
      <c r="E35" s="105">
        <v>0</v>
      </c>
      <c r="F35" s="102">
        <v>0</v>
      </c>
      <c r="G35" s="102">
        <v>0</v>
      </c>
      <c r="H35" s="102">
        <v>0</v>
      </c>
      <c r="I35" s="102">
        <v>0</v>
      </c>
      <c r="J35" s="102">
        <f>I34</f>
        <v>3240</v>
      </c>
      <c r="K35" s="102">
        <f>J34</f>
        <v>4860</v>
      </c>
      <c r="L35" s="102">
        <f>K34</f>
        <v>0</v>
      </c>
      <c r="M35" s="102">
        <f>L34</f>
        <v>0</v>
      </c>
      <c r="O35" s="68"/>
    </row>
    <row r="36" spans="1:15" x14ac:dyDescent="0.3">
      <c r="B36" s="133">
        <v>9</v>
      </c>
      <c r="C36" s="105">
        <v>0</v>
      </c>
      <c r="D36" s="105">
        <v>0</v>
      </c>
      <c r="E36" s="105">
        <v>0</v>
      </c>
      <c r="F36" s="102">
        <v>0</v>
      </c>
      <c r="G36" s="102">
        <v>0</v>
      </c>
      <c r="H36" s="102">
        <v>0</v>
      </c>
      <c r="I36" s="102">
        <v>0</v>
      </c>
      <c r="J36" s="102">
        <v>0</v>
      </c>
      <c r="K36" s="102">
        <f>J35</f>
        <v>3240</v>
      </c>
      <c r="L36" s="102">
        <f>K35</f>
        <v>4860</v>
      </c>
      <c r="M36" s="102">
        <f>L35</f>
        <v>0</v>
      </c>
      <c r="O36" s="68"/>
    </row>
    <row r="37" spans="1:15" x14ac:dyDescent="0.3">
      <c r="B37" s="133">
        <v>10</v>
      </c>
      <c r="C37" s="105">
        <v>0</v>
      </c>
      <c r="D37" s="105">
        <v>0</v>
      </c>
      <c r="E37" s="105">
        <v>0</v>
      </c>
      <c r="F37" s="102">
        <v>0</v>
      </c>
      <c r="G37" s="102">
        <v>0</v>
      </c>
      <c r="H37" s="102">
        <v>0</v>
      </c>
      <c r="I37" s="102">
        <v>0</v>
      </c>
      <c r="J37" s="102">
        <v>0</v>
      </c>
      <c r="K37" s="102">
        <v>0</v>
      </c>
      <c r="L37" s="102">
        <f>K36</f>
        <v>3240</v>
      </c>
      <c r="M37" s="102">
        <f>L36</f>
        <v>4860</v>
      </c>
      <c r="O37" s="68"/>
    </row>
    <row r="38" spans="1:15" x14ac:dyDescent="0.3">
      <c r="O38" s="68"/>
    </row>
    <row r="39" spans="1:15" ht="18" x14ac:dyDescent="0.35">
      <c r="A39" s="115"/>
      <c r="B39" s="162" t="s">
        <v>157</v>
      </c>
      <c r="C39" s="115"/>
      <c r="D39" s="116"/>
      <c r="E39" s="117"/>
      <c r="F39" s="7"/>
      <c r="G39" s="7"/>
      <c r="H39" s="7"/>
      <c r="I39" s="7"/>
      <c r="J39" s="7"/>
      <c r="K39" s="7"/>
      <c r="L39" s="7"/>
      <c r="M39" s="7"/>
      <c r="N39" s="7"/>
      <c r="O39" s="70"/>
    </row>
    <row r="40" spans="1:15" ht="18" x14ac:dyDescent="0.35">
      <c r="B40" s="159"/>
      <c r="O40" s="68"/>
    </row>
    <row r="41" spans="1:15" s="1" customFormat="1" ht="15.6" x14ac:dyDescent="0.3">
      <c r="B41" s="161" t="s">
        <v>81</v>
      </c>
      <c r="C41" s="160"/>
      <c r="D41" s="161">
        <v>1</v>
      </c>
      <c r="E41" s="161">
        <v>2</v>
      </c>
      <c r="F41" s="161">
        <v>3</v>
      </c>
      <c r="G41" s="161">
        <v>4</v>
      </c>
      <c r="H41" s="161">
        <v>5</v>
      </c>
      <c r="I41" s="161">
        <v>6</v>
      </c>
      <c r="J41" s="161">
        <v>7</v>
      </c>
      <c r="K41" s="161">
        <v>8</v>
      </c>
      <c r="L41" s="161">
        <v>9</v>
      </c>
      <c r="M41" s="161">
        <v>10</v>
      </c>
      <c r="N41"/>
      <c r="O41" s="74"/>
    </row>
    <row r="42" spans="1:15" s="3" customFormat="1" x14ac:dyDescent="0.3">
      <c r="B42" s="218" t="s">
        <v>82</v>
      </c>
      <c r="C42" s="2" t="s">
        <v>83</v>
      </c>
      <c r="D42" s="211">
        <f>$C$12*$C$13</f>
        <v>17421.450633262149</v>
      </c>
      <c r="E42" s="211">
        <f t="shared" ref="E42:M42" si="3">$C$12*$C$13</f>
        <v>17421.450633262149</v>
      </c>
      <c r="F42" s="211">
        <f t="shared" si="3"/>
        <v>17421.450633262149</v>
      </c>
      <c r="G42" s="211">
        <f t="shared" si="3"/>
        <v>17421.450633262149</v>
      </c>
      <c r="H42" s="211">
        <f t="shared" si="3"/>
        <v>17421.450633262149</v>
      </c>
      <c r="I42" s="211">
        <f t="shared" si="3"/>
        <v>17421.450633262149</v>
      </c>
      <c r="J42" s="211">
        <f t="shared" si="3"/>
        <v>17421.450633262149</v>
      </c>
      <c r="K42" s="211">
        <f t="shared" si="3"/>
        <v>17421.450633262149</v>
      </c>
      <c r="L42" s="211">
        <f t="shared" si="3"/>
        <v>17421.450633262149</v>
      </c>
      <c r="M42" s="211">
        <f t="shared" si="3"/>
        <v>17421.450633262149</v>
      </c>
      <c r="N42"/>
      <c r="O42" s="75"/>
    </row>
    <row r="43" spans="1:15" s="3" customFormat="1" x14ac:dyDescent="0.3">
      <c r="B43" s="219"/>
      <c r="C43" s="2" t="s">
        <v>84</v>
      </c>
      <c r="D43" s="185">
        <f>D42/(1+$C$3)^(D$41-1)</f>
        <v>17421.450633262149</v>
      </c>
      <c r="E43" s="185">
        <f t="shared" ref="E43:M43" si="4">E42/(1+$C$3)^(E$41-1)</f>
        <v>15837.68239387468</v>
      </c>
      <c r="F43" s="185">
        <f t="shared" si="4"/>
        <v>14397.893085340616</v>
      </c>
      <c r="G43" s="185">
        <f t="shared" si="4"/>
        <v>13088.993713946014</v>
      </c>
      <c r="H43" s="185">
        <f t="shared" si="4"/>
        <v>11899.085194496376</v>
      </c>
      <c r="I43" s="185">
        <f t="shared" si="4"/>
        <v>10817.350176814887</v>
      </c>
      <c r="J43" s="185">
        <f t="shared" si="4"/>
        <v>9833.9547061953508</v>
      </c>
      <c r="K43" s="185">
        <f t="shared" si="4"/>
        <v>8939.9588238139531</v>
      </c>
      <c r="L43" s="185">
        <f t="shared" si="4"/>
        <v>8127.2352943763226</v>
      </c>
      <c r="M43" s="185">
        <f t="shared" si="4"/>
        <v>7388.3957221602923</v>
      </c>
      <c r="N43"/>
      <c r="O43" s="75"/>
    </row>
    <row r="44" spans="1:15" s="3" customFormat="1" x14ac:dyDescent="0.3">
      <c r="B44" s="219"/>
      <c r="C44" s="2" t="s">
        <v>85</v>
      </c>
      <c r="D44" s="185">
        <f>D43/('Model input'!$H$16/'Model input'!$C$16)</f>
        <v>5381.4758739470726</v>
      </c>
      <c r="E44" s="185">
        <f>E43/('Model input'!$H$16/'Model input'!$C$16)</f>
        <v>4892.2507944973386</v>
      </c>
      <c r="F44" s="185">
        <f>F43/('Model input'!$H$16/'Model input'!$C$16)</f>
        <v>4447.5007222703071</v>
      </c>
      <c r="G44" s="185">
        <f>G43/('Model input'!$H$16/'Model input'!$C$16)</f>
        <v>4043.1824747911878</v>
      </c>
      <c r="H44" s="185">
        <f>H43/('Model input'!$H$16/'Model input'!$C$16)</f>
        <v>3675.6204316283524</v>
      </c>
      <c r="I44" s="185">
        <f>I43/('Model input'!$H$16/'Model input'!$C$16)</f>
        <v>3341.4731196621387</v>
      </c>
      <c r="J44" s="185">
        <f>J43/('Model input'!$H$16/'Model input'!$C$16)</f>
        <v>3037.7028360564891</v>
      </c>
      <c r="K44" s="185">
        <f>K43/('Model input'!$H$16/'Model input'!$C$16)</f>
        <v>2761.5480327786258</v>
      </c>
      <c r="L44" s="185">
        <f>L43/('Model input'!$H$16/'Model input'!$C$16)</f>
        <v>2510.4982116169331</v>
      </c>
      <c r="M44" s="185">
        <f>M43/('Model input'!$H$16/'Model input'!$C$16)</f>
        <v>2282.2711014699389</v>
      </c>
      <c r="N44"/>
      <c r="O44" s="75"/>
    </row>
    <row r="45" spans="1:15" s="3" customFormat="1" x14ac:dyDescent="0.3">
      <c r="B45" s="220"/>
      <c r="C45" s="2" t="s">
        <v>86</v>
      </c>
      <c r="D45" s="185">
        <f>D44*'Model input'!$C$23</f>
        <v>104.40063195457321</v>
      </c>
      <c r="E45" s="185">
        <f>E44*'Model input'!$C$23</f>
        <v>94.909665413248376</v>
      </c>
      <c r="F45" s="185">
        <f>F44*'Model input'!$C$23</f>
        <v>86.281514012043957</v>
      </c>
      <c r="G45" s="185">
        <f>G44*'Model input'!$C$23</f>
        <v>78.437740010949042</v>
      </c>
      <c r="H45" s="185">
        <f>H44*'Model input'!$C$23</f>
        <v>71.307036373590037</v>
      </c>
      <c r="I45" s="185">
        <f>I44*'Model input'!$C$23</f>
        <v>64.824578521445488</v>
      </c>
      <c r="J45" s="185">
        <f>J44*'Model input'!$C$23</f>
        <v>58.931435019495893</v>
      </c>
      <c r="K45" s="185">
        <f>K44*'Model input'!$C$23</f>
        <v>53.574031835905345</v>
      </c>
      <c r="L45" s="185">
        <f>L44*'Model input'!$C$23</f>
        <v>48.703665305368503</v>
      </c>
      <c r="M45" s="185">
        <f>M44*'Model input'!$C$23</f>
        <v>44.276059368516819</v>
      </c>
      <c r="N45"/>
      <c r="O45" s="75"/>
    </row>
    <row r="46" spans="1:15" s="3" customFormat="1" x14ac:dyDescent="0.3">
      <c r="B46" s="218" t="s">
        <v>87</v>
      </c>
      <c r="C46" s="2" t="s">
        <v>88</v>
      </c>
      <c r="D46" s="185">
        <f>C14*D5</f>
        <v>0</v>
      </c>
      <c r="E46" s="185">
        <v>0</v>
      </c>
      <c r="F46" s="185">
        <v>0</v>
      </c>
      <c r="G46" s="185">
        <v>0</v>
      </c>
      <c r="H46" s="185">
        <v>0</v>
      </c>
      <c r="I46" s="185">
        <v>0</v>
      </c>
      <c r="J46" s="185">
        <v>0</v>
      </c>
      <c r="K46" s="185">
        <v>0</v>
      </c>
      <c r="L46" s="185">
        <v>0</v>
      </c>
      <c r="M46" s="185">
        <v>0</v>
      </c>
      <c r="N46"/>
      <c r="O46" s="75"/>
    </row>
    <row r="47" spans="1:15" s="3" customFormat="1" x14ac:dyDescent="0.3">
      <c r="B47" s="219"/>
      <c r="C47" s="2" t="s">
        <v>89</v>
      </c>
      <c r="D47" s="185">
        <f>D46/(1+$C$3)^(D$41-1)</f>
        <v>0</v>
      </c>
      <c r="E47" s="185">
        <f t="shared" ref="E47:M47" si="5">E46/(1+$C$3)^(E$41-1)</f>
        <v>0</v>
      </c>
      <c r="F47" s="185">
        <f t="shared" si="5"/>
        <v>0</v>
      </c>
      <c r="G47" s="185">
        <f t="shared" si="5"/>
        <v>0</v>
      </c>
      <c r="H47" s="185">
        <f t="shared" si="5"/>
        <v>0</v>
      </c>
      <c r="I47" s="185">
        <f t="shared" si="5"/>
        <v>0</v>
      </c>
      <c r="J47" s="185">
        <f t="shared" si="5"/>
        <v>0</v>
      </c>
      <c r="K47" s="185">
        <f t="shared" si="5"/>
        <v>0</v>
      </c>
      <c r="L47" s="185">
        <f t="shared" si="5"/>
        <v>0</v>
      </c>
      <c r="M47" s="185">
        <f t="shared" si="5"/>
        <v>0</v>
      </c>
      <c r="N47"/>
      <c r="O47" s="75"/>
    </row>
    <row r="48" spans="1:15" s="3" customFormat="1" x14ac:dyDescent="0.3">
      <c r="B48" s="220"/>
      <c r="C48" s="2" t="s">
        <v>90</v>
      </c>
      <c r="D48" s="185">
        <f>D47/'Model input'!$C$24</f>
        <v>0</v>
      </c>
      <c r="E48" s="185">
        <v>0</v>
      </c>
      <c r="F48" s="185">
        <f>F47/'Model input'!$C$24</f>
        <v>0</v>
      </c>
      <c r="G48" s="185">
        <f>G47/'Model input'!$C$24</f>
        <v>0</v>
      </c>
      <c r="H48" s="185">
        <f>H47/'Model input'!$C$24</f>
        <v>0</v>
      </c>
      <c r="I48" s="185">
        <f>I47/'Model input'!$C$24</f>
        <v>0</v>
      </c>
      <c r="J48" s="185">
        <f>J47/'Model input'!$C$24</f>
        <v>0</v>
      </c>
      <c r="K48" s="185">
        <f>K47/'Model input'!$C$24</f>
        <v>0</v>
      </c>
      <c r="L48" s="185">
        <f>L47/'Model input'!$C$24</f>
        <v>0</v>
      </c>
      <c r="M48" s="185">
        <f>M47/'Model input'!$C$24</f>
        <v>0</v>
      </c>
      <c r="N48"/>
      <c r="O48" s="75"/>
    </row>
    <row r="49" spans="1:15" ht="15.6" x14ac:dyDescent="0.3">
      <c r="B49" s="216" t="s">
        <v>86</v>
      </c>
      <c r="C49" s="217"/>
      <c r="D49" s="186">
        <f>D45+D48</f>
        <v>104.40063195457321</v>
      </c>
      <c r="E49" s="186">
        <f>E45+E48</f>
        <v>94.909665413248376</v>
      </c>
      <c r="F49" s="186">
        <f t="shared" ref="F49:M49" si="6">F45+F48</f>
        <v>86.281514012043957</v>
      </c>
      <c r="G49" s="186">
        <f t="shared" si="6"/>
        <v>78.437740010949042</v>
      </c>
      <c r="H49" s="186">
        <f t="shared" si="6"/>
        <v>71.307036373590037</v>
      </c>
      <c r="I49" s="186">
        <f t="shared" si="6"/>
        <v>64.824578521445488</v>
      </c>
      <c r="J49" s="186">
        <f t="shared" si="6"/>
        <v>58.931435019495893</v>
      </c>
      <c r="K49" s="186">
        <f t="shared" si="6"/>
        <v>53.574031835905345</v>
      </c>
      <c r="L49" s="186">
        <f t="shared" si="6"/>
        <v>48.703665305368503</v>
      </c>
      <c r="M49" s="186">
        <f t="shared" si="6"/>
        <v>44.276059368516819</v>
      </c>
      <c r="O49" s="68"/>
    </row>
    <row r="50" spans="1:15" x14ac:dyDescent="0.3">
      <c r="O50" s="68"/>
    </row>
    <row r="51" spans="1:15" ht="18" x14ac:dyDescent="0.35">
      <c r="A51" s="115"/>
      <c r="B51" s="162" t="s">
        <v>103</v>
      </c>
      <c r="C51" s="115"/>
      <c r="D51" s="116"/>
      <c r="E51" s="117"/>
      <c r="F51" s="7"/>
      <c r="G51" s="7"/>
      <c r="H51" s="7"/>
      <c r="I51" s="7"/>
      <c r="J51" s="7"/>
      <c r="K51" s="7"/>
      <c r="L51" s="7"/>
      <c r="M51" s="7"/>
      <c r="N51" s="7"/>
      <c r="O51" s="70"/>
    </row>
    <row r="52" spans="1:15" x14ac:dyDescent="0.3">
      <c r="O52" s="68"/>
    </row>
    <row r="53" spans="1:15" ht="15.6" x14ac:dyDescent="0.3">
      <c r="B53" s="161" t="s">
        <v>81</v>
      </c>
      <c r="C53" s="4">
        <v>2026</v>
      </c>
      <c r="D53" s="4">
        <v>2027</v>
      </c>
      <c r="E53" s="4">
        <v>2028</v>
      </c>
      <c r="F53" s="4">
        <v>2029</v>
      </c>
      <c r="G53" s="4">
        <v>2030</v>
      </c>
      <c r="H53" s="4">
        <v>2031</v>
      </c>
      <c r="I53" s="4">
        <v>2032</v>
      </c>
      <c r="J53" s="4">
        <v>2033</v>
      </c>
      <c r="K53" s="4">
        <v>2034</v>
      </c>
      <c r="L53" s="4">
        <v>2035</v>
      </c>
      <c r="M53" s="4">
        <v>2036</v>
      </c>
      <c r="O53" s="68"/>
    </row>
    <row r="54" spans="1:15" x14ac:dyDescent="0.3">
      <c r="B54" s="166" t="s">
        <v>104</v>
      </c>
      <c r="C54" s="167">
        <f>C28*D49</f>
        <v>338258.04753281723</v>
      </c>
      <c r="D54" s="167">
        <f>D28*D49/(1+$C$3)+D29*E49</f>
        <v>768768.2898473118</v>
      </c>
      <c r="E54" s="167">
        <f>E29*E49/(1+$C$3)+E30*F49</f>
        <v>698880.26349755609</v>
      </c>
      <c r="F54" s="167">
        <f>F30*F$49/(1+$C$3)+F31*G$49</f>
        <v>635345.69408868731</v>
      </c>
      <c r="G54" s="167">
        <f>G31*G$49/(1+$C$3)+G32*H$49</f>
        <v>577586.99462607922</v>
      </c>
      <c r="H54" s="167">
        <f>H32*H$49/(1+$C$3)+H33*I$49</f>
        <v>525079.08602370846</v>
      </c>
      <c r="I54" s="167">
        <f>I33*I$49/(1+$C$3)+I34*J$49</f>
        <v>477344.62365791667</v>
      </c>
      <c r="J54" s="167">
        <f>J34*J$49/(1+$C$3)+J35*K$49</f>
        <v>433949.65787083335</v>
      </c>
      <c r="K54" s="167">
        <f>K35*K$49/(1+$C$3)+K36*L$49</f>
        <v>394499.68897348479</v>
      </c>
      <c r="L54" s="167">
        <f>L36*L$49/(1+$C$3)+L37*M$49</f>
        <v>358636.08088498621</v>
      </c>
      <c r="M54" s="167">
        <f>M37*M$49/(1+$C$3)</f>
        <v>195619.68048271976</v>
      </c>
      <c r="O54" s="68"/>
    </row>
    <row r="55" spans="1:15" x14ac:dyDescent="0.3">
      <c r="O55" s="68"/>
    </row>
    <row r="56" spans="1:15" ht="18" x14ac:dyDescent="0.35">
      <c r="A56" s="115"/>
      <c r="B56" s="162" t="s">
        <v>105</v>
      </c>
      <c r="C56" s="115"/>
      <c r="D56" s="116"/>
      <c r="E56" s="117"/>
      <c r="F56" s="7"/>
      <c r="G56" s="7"/>
      <c r="H56" s="7"/>
      <c r="I56" s="7"/>
      <c r="J56" s="7"/>
      <c r="K56" s="7"/>
      <c r="L56" s="7"/>
      <c r="M56" s="7"/>
      <c r="N56" s="7"/>
      <c r="O56" s="70"/>
    </row>
    <row r="57" spans="1:15" x14ac:dyDescent="0.3">
      <c r="O57" s="68"/>
    </row>
    <row r="58" spans="1:15" ht="15.6" x14ac:dyDescent="0.3">
      <c r="B58" s="161" t="s">
        <v>81</v>
      </c>
      <c r="C58" s="9">
        <v>2026</v>
      </c>
      <c r="D58" s="9">
        <v>2027</v>
      </c>
      <c r="E58" s="9">
        <v>2028</v>
      </c>
      <c r="F58" s="9">
        <v>2029</v>
      </c>
      <c r="O58" s="68"/>
    </row>
    <row r="59" spans="1:15" x14ac:dyDescent="0.3">
      <c r="B59" s="2" t="s">
        <v>106</v>
      </c>
      <c r="C59" s="10">
        <f>1154407/(1+$C$7)-2412+197620</f>
        <v>1207845.7192982454</v>
      </c>
      <c r="D59" s="10">
        <f>1118042/(1+$C$7)</f>
        <v>980738.59649122797</v>
      </c>
      <c r="E59" s="11">
        <f>727551/(1+$C$7)</f>
        <v>638202.6315789473</v>
      </c>
      <c r="F59" s="11">
        <f>0/$D$7</f>
        <v>0</v>
      </c>
      <c r="O59" s="68"/>
    </row>
    <row r="60" spans="1:15" x14ac:dyDescent="0.3">
      <c r="B60" s="2" t="s">
        <v>107</v>
      </c>
      <c r="C60" s="10">
        <f>C59/('Model input'!H17/'Model input'!$H$17)</f>
        <v>1207845.7192982454</v>
      </c>
      <c r="D60" s="10">
        <f>D59/('Model input'!I17/'Model input'!$H$17)</f>
        <v>960385.98460435378</v>
      </c>
      <c r="E60" s="10">
        <f>E59/('Model input'!J17/'Model input'!$H$17)</f>
        <v>611786.69975329703</v>
      </c>
      <c r="F60" s="10">
        <f>F59/('Model input'!J17/'Model input'!$H$17)</f>
        <v>0</v>
      </c>
      <c r="O60" s="68"/>
    </row>
    <row r="61" spans="1:15" x14ac:dyDescent="0.3">
      <c r="B61" s="2" t="s">
        <v>149</v>
      </c>
      <c r="C61" s="10">
        <f>C60/(1+$C$3)^(C58-2026)</f>
        <v>1207845.7192982454</v>
      </c>
      <c r="D61" s="10">
        <f>D60/(1+$C$3)^(D58-2026)</f>
        <v>873078.16782213969</v>
      </c>
      <c r="E61" s="10">
        <f>E60/(1+$C$3)^(E58-2026)</f>
        <v>505608.84277131979</v>
      </c>
      <c r="F61" s="10">
        <f>F60/(1+$C$3)^(F58-2026)</f>
        <v>0</v>
      </c>
      <c r="O61" s="68"/>
    </row>
    <row r="62" spans="1:15" x14ac:dyDescent="0.3">
      <c r="B62" s="2" t="s">
        <v>150</v>
      </c>
      <c r="C62" s="10">
        <f>C61/('Model input'!$G$17/'Model input'!$C$17)</f>
        <v>1016075.7002197575</v>
      </c>
      <c r="D62" s="10">
        <f>D61/('Model input'!$G$17/'Model input'!$C$17)</f>
        <v>734459.29106895684</v>
      </c>
      <c r="E62" s="10">
        <f>E61/('Model input'!$G$17/'Model input'!$C$17)</f>
        <v>425333.17852436448</v>
      </c>
      <c r="F62" s="10">
        <f>F61/('Model input'!$G$17/'Model input'!$C$17)</f>
        <v>0</v>
      </c>
      <c r="O62" s="68"/>
    </row>
    <row r="63" spans="1:15" x14ac:dyDescent="0.3">
      <c r="D63" s="121"/>
      <c r="E63" s="121"/>
      <c r="F63" s="121"/>
      <c r="G63" s="121"/>
      <c r="H63" s="121"/>
      <c r="O63" s="76"/>
    </row>
    <row r="64" spans="1:15" ht="21.75" customHeight="1" x14ac:dyDescent="0.3">
      <c r="B64" s="168" t="s">
        <v>108</v>
      </c>
      <c r="C64" s="169">
        <f>SUM(C62:F62)</f>
        <v>2175868.1698130788</v>
      </c>
      <c r="D64" s="123"/>
      <c r="H64" s="121"/>
      <c r="O64" s="68"/>
    </row>
    <row r="65" spans="1:15" ht="21.75" customHeight="1" x14ac:dyDescent="0.3">
      <c r="B65" s="168" t="s">
        <v>109</v>
      </c>
      <c r="C65" s="169">
        <f>C64/C24</f>
        <v>268.62569997692333</v>
      </c>
      <c r="D65" s="123"/>
      <c r="H65" s="121"/>
      <c r="O65" s="68"/>
    </row>
    <row r="66" spans="1:15" ht="20.25" customHeight="1" x14ac:dyDescent="0.3">
      <c r="B66" s="124"/>
      <c r="C66" s="124"/>
      <c r="D66" s="123"/>
      <c r="O66" s="68"/>
    </row>
    <row r="67" spans="1:15" ht="18" x14ac:dyDescent="0.35">
      <c r="A67" s="115"/>
      <c r="B67" s="162" t="s">
        <v>110</v>
      </c>
      <c r="C67" s="115"/>
      <c r="D67" s="116"/>
      <c r="E67" s="117"/>
      <c r="F67" s="7"/>
      <c r="G67" s="7"/>
      <c r="H67" s="7"/>
      <c r="I67" s="7"/>
      <c r="J67" s="7"/>
      <c r="K67" s="7"/>
      <c r="L67" s="7"/>
      <c r="M67" s="7"/>
      <c r="N67" s="7"/>
      <c r="O67" s="70"/>
    </row>
    <row r="68" spans="1:15" x14ac:dyDescent="0.3">
      <c r="F68" s="125"/>
      <c r="O68" s="68"/>
    </row>
    <row r="69" spans="1:15" ht="15.6" x14ac:dyDescent="0.3">
      <c r="B69" s="170" t="s">
        <v>111</v>
      </c>
      <c r="C69" s="171">
        <f>SUM(C54:M54)</f>
        <v>5403968.1074861009</v>
      </c>
      <c r="D69" s="126"/>
      <c r="O69" s="68"/>
    </row>
    <row r="70" spans="1:15" ht="18.75" customHeight="1" x14ac:dyDescent="0.3">
      <c r="B70" s="170" t="s">
        <v>112</v>
      </c>
      <c r="C70" s="171">
        <f>C69-C64</f>
        <v>3228099.937673022</v>
      </c>
      <c r="O70" s="68"/>
    </row>
    <row r="71" spans="1:15" ht="15.6" x14ac:dyDescent="0.3">
      <c r="B71" s="170" t="s">
        <v>113</v>
      </c>
      <c r="C71" s="171">
        <f>+C69/C24</f>
        <v>667.15655647976553</v>
      </c>
      <c r="O71" s="68"/>
    </row>
    <row r="72" spans="1:15" ht="15.6" x14ac:dyDescent="0.3">
      <c r="B72" s="170" t="s">
        <v>114</v>
      </c>
      <c r="C72" s="171">
        <f>C71-C65</f>
        <v>398.5308565028422</v>
      </c>
      <c r="O72" s="68"/>
    </row>
    <row r="73" spans="1:15" ht="15.6" x14ac:dyDescent="0.3">
      <c r="B73" s="168" t="s">
        <v>115</v>
      </c>
      <c r="C73" s="209">
        <f>AVERAGE(D42:M42)/C12</f>
        <v>6.9999999999999979E-2</v>
      </c>
      <c r="O73" s="68"/>
    </row>
    <row r="74" spans="1:15" x14ac:dyDescent="0.3">
      <c r="F74" s="125"/>
      <c r="O74" s="68"/>
    </row>
    <row r="75" spans="1:15" ht="18" x14ac:dyDescent="0.35">
      <c r="A75" s="115"/>
      <c r="B75" s="162" t="s">
        <v>116</v>
      </c>
      <c r="C75" s="115"/>
      <c r="D75" s="116"/>
      <c r="E75" s="117"/>
      <c r="F75" s="7"/>
      <c r="G75" s="7"/>
      <c r="H75" s="7"/>
      <c r="I75" s="7"/>
      <c r="J75" s="7"/>
      <c r="K75" s="7"/>
      <c r="L75" s="7"/>
      <c r="M75" s="7"/>
      <c r="N75" s="7"/>
      <c r="O75" s="70"/>
    </row>
    <row r="76" spans="1:15" x14ac:dyDescent="0.3">
      <c r="O76" s="68"/>
    </row>
    <row r="77" spans="1:15" ht="25.5" customHeight="1" x14ac:dyDescent="0.3">
      <c r="B77" s="168" t="s">
        <v>117</v>
      </c>
      <c r="C77" s="172">
        <f>C69/C64</f>
        <v>2.4835916911043086</v>
      </c>
      <c r="D77" s="8" t="s">
        <v>118</v>
      </c>
      <c r="E77" s="127"/>
      <c r="O77" s="68"/>
    </row>
    <row r="78" spans="1:15" ht="25.5" customHeight="1" x14ac:dyDescent="0.3">
      <c r="B78" s="168" t="s">
        <v>152</v>
      </c>
      <c r="C78" s="172">
        <v>1.6</v>
      </c>
      <c r="D78" s="127"/>
      <c r="E78" s="127"/>
      <c r="F78" s="203"/>
      <c r="G78" s="204"/>
      <c r="H78" s="127"/>
      <c r="O78" s="68"/>
    </row>
    <row r="79" spans="1:15" x14ac:dyDescent="0.3">
      <c r="I79" s="128"/>
      <c r="J79" s="128"/>
      <c r="K79" s="128"/>
      <c r="M79" s="128"/>
      <c r="N79" s="1"/>
      <c r="O79" s="68"/>
    </row>
    <row r="80" spans="1:15" ht="18" x14ac:dyDescent="0.35">
      <c r="A80" s="115"/>
      <c r="B80" s="162" t="s">
        <v>119</v>
      </c>
      <c r="C80" s="115"/>
      <c r="D80" s="116"/>
      <c r="E80" s="117"/>
      <c r="F80" s="7"/>
      <c r="G80" s="7"/>
      <c r="H80" s="7"/>
      <c r="I80" s="7"/>
      <c r="J80" s="7"/>
      <c r="K80" s="7"/>
      <c r="L80" s="7"/>
      <c r="M80" s="7"/>
      <c r="N80" s="7"/>
      <c r="O80" s="70"/>
    </row>
    <row r="81" spans="2:15" x14ac:dyDescent="0.3">
      <c r="O81" s="68"/>
    </row>
    <row r="82" spans="2:15" ht="15" customHeight="1" x14ac:dyDescent="0.3">
      <c r="B82" s="221" t="s">
        <v>154</v>
      </c>
      <c r="C82" s="221"/>
      <c r="O82" s="68"/>
    </row>
    <row r="83" spans="2:15" ht="15" customHeight="1" x14ac:dyDescent="0.3">
      <c r="B83" s="221"/>
      <c r="C83" s="221"/>
      <c r="G83" s="213" t="s">
        <v>120</v>
      </c>
      <c r="H83" s="213"/>
      <c r="I83" s="213"/>
      <c r="J83" s="213"/>
      <c r="K83" s="213"/>
      <c r="L83" s="213"/>
      <c r="M83" s="213"/>
      <c r="N83" s="213"/>
      <c r="O83" s="68"/>
    </row>
    <row r="84" spans="2:15" ht="15" customHeight="1" x14ac:dyDescent="0.3">
      <c r="B84" s="221"/>
      <c r="C84" s="221"/>
      <c r="F84" s="129">
        <f>C77</f>
        <v>2.4835916911043086</v>
      </c>
      <c r="G84" s="97">
        <v>2.5000000000000001E-2</v>
      </c>
      <c r="H84" s="111">
        <v>7.0000000000000007E-2</v>
      </c>
      <c r="I84" s="97">
        <v>7.4999999999999997E-2</v>
      </c>
      <c r="J84" s="135">
        <v>0.1</v>
      </c>
      <c r="K84" s="97">
        <v>0.125</v>
      </c>
      <c r="L84" s="97">
        <v>0.15</v>
      </c>
      <c r="M84" s="97">
        <v>0.17499999999999999</v>
      </c>
      <c r="N84" s="97">
        <v>0.2</v>
      </c>
      <c r="O84" s="68"/>
    </row>
    <row r="85" spans="2:15" ht="15" customHeight="1" x14ac:dyDescent="0.3">
      <c r="B85" s="221"/>
      <c r="C85" s="221"/>
      <c r="E85" s="212" t="s">
        <v>121</v>
      </c>
      <c r="F85" s="114">
        <v>0</v>
      </c>
      <c r="G85" s="112">
        <f t="dataTable" ref="G85:N92" dt2D="1" dtr="1" r1="C3" r2="C7" ca="1"/>
        <v>2.8835777644186797</v>
      </c>
      <c r="H85" s="112">
        <v>2.4339849853065449</v>
      </c>
      <c r="I85" s="112">
        <v>2.3916901296535733</v>
      </c>
      <c r="J85" s="112">
        <v>2.1989700451501055</v>
      </c>
      <c r="K85" s="112">
        <v>2.0334149205515692</v>
      </c>
      <c r="L85" s="112">
        <v>1.8903479788458091</v>
      </c>
      <c r="M85" s="112">
        <v>1.766010395155331</v>
      </c>
      <c r="N85" s="112">
        <v>1.6573623780325135</v>
      </c>
      <c r="O85" s="68"/>
    </row>
    <row r="86" spans="2:15" ht="15" customHeight="1" x14ac:dyDescent="0.3">
      <c r="B86" s="221"/>
      <c r="C86" s="221"/>
      <c r="E86" s="212"/>
      <c r="F86" s="114">
        <v>2.5000000000000001E-2</v>
      </c>
      <c r="G86" s="112">
        <v>2.9509938167825713</v>
      </c>
      <c r="H86" s="112">
        <v>2.4907583504640969</v>
      </c>
      <c r="I86" s="112">
        <v>2.4474629434571677</v>
      </c>
      <c r="J86" s="112">
        <v>2.2501852555437925</v>
      </c>
      <c r="K86" s="112">
        <v>2.0807169659098994</v>
      </c>
      <c r="L86" s="112">
        <v>1.9342699574366369</v>
      </c>
      <c r="M86" s="112">
        <v>1.8069959928950332</v>
      </c>
      <c r="N86" s="112">
        <v>1.6957830297340823</v>
      </c>
      <c r="O86" s="68"/>
    </row>
    <row r="87" spans="2:15" ht="15" customHeight="1" x14ac:dyDescent="0.3">
      <c r="B87" s="221"/>
      <c r="C87" s="221"/>
      <c r="E87" s="212"/>
      <c r="F87" s="114">
        <v>0.05</v>
      </c>
      <c r="G87" s="112">
        <v>3.018197014164389</v>
      </c>
      <c r="H87" s="112">
        <v>2.5473464965564241</v>
      </c>
      <c r="I87" s="112">
        <v>2.5030531669280522</v>
      </c>
      <c r="J87" s="112">
        <v>2.3012299208893601</v>
      </c>
      <c r="K87" s="112">
        <v>2.1278589049973258</v>
      </c>
      <c r="L87" s="112">
        <v>1.9780409214403016</v>
      </c>
      <c r="M87" s="112">
        <v>1.8478385323889919</v>
      </c>
      <c r="N87" s="112">
        <v>1.7340676179501888</v>
      </c>
      <c r="O87" s="68"/>
    </row>
    <row r="88" spans="2:15" ht="15" customHeight="1" x14ac:dyDescent="0.3">
      <c r="B88" s="221"/>
      <c r="C88" s="221"/>
      <c r="E88" s="212"/>
      <c r="F88" s="114">
        <v>0.1</v>
      </c>
      <c r="G88" s="112">
        <v>3.1519688636158714</v>
      </c>
      <c r="H88" s="112">
        <v>2.6599707453398018</v>
      </c>
      <c r="I88" s="112">
        <v>2.6136894177788959</v>
      </c>
      <c r="J88" s="112">
        <v>2.4028110125851123</v>
      </c>
      <c r="K88" s="112">
        <v>2.2216657049227906</v>
      </c>
      <c r="L88" s="112">
        <v>2.0651329103637073</v>
      </c>
      <c r="M88" s="112">
        <v>1.9290974222458728</v>
      </c>
      <c r="N88" s="112">
        <v>1.8102314848672949</v>
      </c>
      <c r="O88" s="68"/>
    </row>
    <row r="89" spans="2:15" ht="15" customHeight="1" x14ac:dyDescent="0.3">
      <c r="B89" s="221"/>
      <c r="C89" s="221"/>
      <c r="E89" s="212"/>
      <c r="F89" s="114">
        <v>0.125</v>
      </c>
      <c r="G89" s="112">
        <v>3.2185395097131941</v>
      </c>
      <c r="H89" s="130">
        <v>2.7160086402626358</v>
      </c>
      <c r="I89" s="112">
        <v>2.668737218054432</v>
      </c>
      <c r="J89" s="112">
        <v>2.4533491229437057</v>
      </c>
      <c r="K89" s="112">
        <v>2.2683321724010721</v>
      </c>
      <c r="L89" s="112">
        <v>2.1084554743473856</v>
      </c>
      <c r="M89" s="112">
        <v>1.9695152524533459</v>
      </c>
      <c r="N89" s="112">
        <v>1.848112191353062</v>
      </c>
      <c r="O89" s="68"/>
    </row>
    <row r="90" spans="2:15" ht="15" customHeight="1" x14ac:dyDescent="0.3">
      <c r="B90" s="221"/>
      <c r="C90" s="221"/>
      <c r="E90" s="212"/>
      <c r="F90" s="136">
        <v>0.14000000000000001</v>
      </c>
      <c r="G90" s="112">
        <v>3.2583815783436814</v>
      </c>
      <c r="H90" s="130">
        <v>2.749544136098597</v>
      </c>
      <c r="I90" s="112">
        <v>2.7016799009435735</v>
      </c>
      <c r="J90" s="134">
        <v>2.4835916911043086</v>
      </c>
      <c r="K90" s="112">
        <v>2.2962566936250246</v>
      </c>
      <c r="L90" s="112">
        <v>2.1343779547513897</v>
      </c>
      <c r="M90" s="112">
        <v>1.9936986566622024</v>
      </c>
      <c r="N90" s="112">
        <v>1.8707766304871141</v>
      </c>
      <c r="O90" s="68"/>
    </row>
    <row r="91" spans="2:15" ht="15" customHeight="1" x14ac:dyDescent="0.3">
      <c r="B91" s="221"/>
      <c r="C91" s="221"/>
      <c r="E91" s="212"/>
      <c r="F91" s="114">
        <v>0.17499999999999999</v>
      </c>
      <c r="G91" s="112">
        <v>3.3510551828713568</v>
      </c>
      <c r="H91" s="112">
        <v>2.8275404082521134</v>
      </c>
      <c r="I91" s="112">
        <v>2.7782965573669665</v>
      </c>
      <c r="J91" s="112">
        <v>2.5539246409928729</v>
      </c>
      <c r="K91" s="112">
        <v>2.3611952185458343</v>
      </c>
      <c r="L91" s="112">
        <v>2.1946575496691652</v>
      </c>
      <c r="M91" s="112">
        <v>2.0499313446329177</v>
      </c>
      <c r="N91" s="112">
        <v>1.923474682250907</v>
      </c>
      <c r="O91" s="68"/>
    </row>
    <row r="92" spans="2:15" ht="15" customHeight="1" x14ac:dyDescent="0.3">
      <c r="B92" s="221"/>
      <c r="C92" s="221"/>
      <c r="E92" s="212"/>
      <c r="F92" s="114">
        <v>0.2</v>
      </c>
      <c r="G92" s="112">
        <v>3.4170021666859647</v>
      </c>
      <c r="H92" s="112">
        <v>2.8830360389489318</v>
      </c>
      <c r="I92" s="112">
        <v>2.8328098349533484</v>
      </c>
      <c r="J92" s="112">
        <v>2.6039636995160014</v>
      </c>
      <c r="K92" s="112">
        <v>2.4073933716874736</v>
      </c>
      <c r="L92" s="112">
        <v>2.2375385687791791</v>
      </c>
      <c r="M92" s="112">
        <v>2.0899310559114386</v>
      </c>
      <c r="N92" s="112">
        <v>1.9609578645601342</v>
      </c>
      <c r="O92" s="68"/>
    </row>
    <row r="93" spans="2:15" ht="15" customHeight="1" x14ac:dyDescent="0.3">
      <c r="B93" s="221"/>
      <c r="C93" s="221"/>
      <c r="E93" s="139"/>
      <c r="O93" s="68"/>
    </row>
    <row r="94" spans="2:15" ht="15" customHeight="1" x14ac:dyDescent="0.3">
      <c r="B94" s="221"/>
      <c r="C94" s="221"/>
      <c r="E94" s="139"/>
      <c r="O94" s="68"/>
    </row>
    <row r="95" spans="2:15" ht="15" customHeight="1" x14ac:dyDescent="0.3">
      <c r="B95" s="221"/>
      <c r="C95" s="221"/>
      <c r="G95" s="213" t="s">
        <v>76</v>
      </c>
      <c r="H95" s="213"/>
      <c r="I95" s="213"/>
      <c r="J95" s="213"/>
      <c r="K95" s="213"/>
      <c r="L95" s="213"/>
      <c r="M95" s="213"/>
      <c r="N95" s="213"/>
      <c r="O95" s="68"/>
    </row>
    <row r="96" spans="2:15" ht="15" customHeight="1" x14ac:dyDescent="0.3">
      <c r="B96" s="221"/>
      <c r="C96" s="221"/>
      <c r="F96" s="129">
        <f>C77</f>
        <v>2.4835916911043086</v>
      </c>
      <c r="G96" s="97">
        <v>2.5000000000000001E-2</v>
      </c>
      <c r="H96" s="135">
        <v>7.0000000000000007E-2</v>
      </c>
      <c r="I96" s="97">
        <v>7.4999999999999997E-2</v>
      </c>
      <c r="J96" s="97">
        <v>0.1</v>
      </c>
      <c r="K96" s="97">
        <v>0.125</v>
      </c>
      <c r="L96" s="97">
        <v>0.15</v>
      </c>
      <c r="M96" s="97">
        <v>0.17</v>
      </c>
      <c r="N96" s="97">
        <v>0.2</v>
      </c>
      <c r="O96" s="68"/>
    </row>
    <row r="97" spans="2:15" ht="15" customHeight="1" x14ac:dyDescent="0.3">
      <c r="B97" s="221"/>
      <c r="C97" s="221"/>
      <c r="E97" s="212" t="s">
        <v>122</v>
      </c>
      <c r="F97" s="110">
        <v>25000</v>
      </c>
      <c r="G97" s="140">
        <f t="dataTable" ref="G97:N105" dt2D="1" dtr="1" r1="C13" r2="C11" ca="1"/>
        <v>0.16362300405780009</v>
      </c>
      <c r="H97" s="140">
        <v>0.45814441136184025</v>
      </c>
      <c r="I97" s="140">
        <v>0.49086901217340012</v>
      </c>
      <c r="J97" s="140">
        <v>0.65449201623120035</v>
      </c>
      <c r="K97" s="140">
        <v>0.81811502028900029</v>
      </c>
      <c r="L97" s="140">
        <v>0.98173802434680024</v>
      </c>
      <c r="M97" s="140">
        <v>1.1126364275930405</v>
      </c>
      <c r="N97" s="140">
        <v>1.3089840324624007</v>
      </c>
      <c r="O97" s="68"/>
    </row>
    <row r="98" spans="2:15" ht="15" customHeight="1" x14ac:dyDescent="0.3">
      <c r="B98" s="221"/>
      <c r="C98" s="221"/>
      <c r="E98" s="212"/>
      <c r="F98" s="110">
        <v>50000</v>
      </c>
      <c r="G98" s="140">
        <v>0.32724600811560017</v>
      </c>
      <c r="H98" s="140">
        <v>0.91628882272368051</v>
      </c>
      <c r="I98" s="140">
        <v>0.98173802434680024</v>
      </c>
      <c r="J98" s="140">
        <v>1.3089840324624007</v>
      </c>
      <c r="K98" s="112">
        <v>1.6362300405780006</v>
      </c>
      <c r="L98" s="112">
        <v>1.9634760486936005</v>
      </c>
      <c r="M98" s="112">
        <v>2.225272855186081</v>
      </c>
      <c r="N98" s="112">
        <v>2.6179680649248014</v>
      </c>
      <c r="O98" s="68"/>
    </row>
    <row r="99" spans="2:15" ht="15" customHeight="1" x14ac:dyDescent="0.3">
      <c r="B99" s="221"/>
      <c r="C99" s="221"/>
      <c r="E99" s="212"/>
      <c r="F99" s="110">
        <v>75000</v>
      </c>
      <c r="G99" s="140">
        <v>0.49086901217340023</v>
      </c>
      <c r="H99" s="112">
        <v>1.3744332340855208</v>
      </c>
      <c r="I99" s="112">
        <v>1.4726070365202004</v>
      </c>
      <c r="J99" s="112">
        <v>1.9634760486936009</v>
      </c>
      <c r="K99" s="112">
        <v>2.4543450608670012</v>
      </c>
      <c r="L99" s="112">
        <v>2.9452140730404008</v>
      </c>
      <c r="M99" s="112">
        <v>3.3379092827791208</v>
      </c>
      <c r="N99" s="112">
        <v>3.9269520973872019</v>
      </c>
      <c r="O99" s="68"/>
    </row>
    <row r="100" spans="2:15" ht="15" customHeight="1" x14ac:dyDescent="0.3">
      <c r="B100" s="221"/>
      <c r="C100" s="221"/>
      <c r="E100" s="212"/>
      <c r="F100" s="110">
        <v>100000</v>
      </c>
      <c r="G100" s="140">
        <v>0.65449201623120035</v>
      </c>
      <c r="H100" s="112">
        <v>1.832577645447361</v>
      </c>
      <c r="I100" s="112">
        <v>1.9634760486936005</v>
      </c>
      <c r="J100" s="112">
        <v>2.6179680649248014</v>
      </c>
      <c r="K100" s="112">
        <v>3.2724600811560012</v>
      </c>
      <c r="L100" s="112">
        <v>3.926952097387201</v>
      </c>
      <c r="M100" s="112">
        <v>4.450545710372162</v>
      </c>
      <c r="N100" s="112">
        <v>5.2359361298496028</v>
      </c>
      <c r="O100" s="68"/>
    </row>
    <row r="101" spans="2:15" ht="15" customHeight="1" x14ac:dyDescent="0.3">
      <c r="B101" s="221"/>
      <c r="C101" s="221"/>
      <c r="E101" s="212"/>
      <c r="F101" s="110">
        <v>125000</v>
      </c>
      <c r="G101" s="140">
        <v>0.81811502028900029</v>
      </c>
      <c r="H101" s="112">
        <v>2.290722056809201</v>
      </c>
      <c r="I101" s="112">
        <v>2.4543450608670003</v>
      </c>
      <c r="J101" s="112">
        <v>3.2724600811560012</v>
      </c>
      <c r="K101" s="112">
        <v>4.090575101445002</v>
      </c>
      <c r="L101" s="112">
        <v>4.9086901217340007</v>
      </c>
      <c r="M101" s="112">
        <v>5.5631821379652031</v>
      </c>
      <c r="N101" s="112">
        <v>6.5449201623120024</v>
      </c>
      <c r="O101" s="68"/>
    </row>
    <row r="102" spans="2:15" ht="15" customHeight="1" x14ac:dyDescent="0.3">
      <c r="B102" s="221"/>
      <c r="C102" s="221"/>
      <c r="E102" s="212"/>
      <c r="F102" s="137">
        <v>135524.5</v>
      </c>
      <c r="G102" s="140">
        <v>0.88699703253725315</v>
      </c>
      <c r="H102" s="138">
        <v>2.4835916911043086</v>
      </c>
      <c r="I102" s="112">
        <v>2.6609910976117592</v>
      </c>
      <c r="J102" s="112">
        <v>3.5479881301490126</v>
      </c>
      <c r="K102" s="112">
        <v>4.4349851626862646</v>
      </c>
      <c r="L102" s="112">
        <v>5.3219821952235185</v>
      </c>
      <c r="M102" s="112">
        <v>6.0315798212533203</v>
      </c>
      <c r="N102" s="112">
        <v>7.0959762602980252</v>
      </c>
      <c r="O102" s="68"/>
    </row>
    <row r="103" spans="2:15" ht="15" customHeight="1" x14ac:dyDescent="0.3">
      <c r="B103" s="221"/>
      <c r="C103" s="221"/>
      <c r="E103" s="212"/>
      <c r="F103" s="110">
        <v>150000</v>
      </c>
      <c r="G103" s="140">
        <v>0.98173802434680046</v>
      </c>
      <c r="H103" s="112">
        <v>2.7488664681710415</v>
      </c>
      <c r="I103" s="112">
        <v>2.9452140730404008</v>
      </c>
      <c r="J103" s="112">
        <v>3.9269520973872019</v>
      </c>
      <c r="K103" s="112">
        <v>4.9086901217340024</v>
      </c>
      <c r="L103" s="112">
        <v>5.8904281460808017</v>
      </c>
      <c r="M103" s="112">
        <v>6.6758185655582416</v>
      </c>
      <c r="N103" s="112">
        <v>7.8539041947744037</v>
      </c>
      <c r="O103" s="68"/>
    </row>
    <row r="104" spans="2:15" ht="15" customHeight="1" x14ac:dyDescent="0.3">
      <c r="B104" s="221"/>
      <c r="C104" s="221"/>
      <c r="E104" s="212"/>
      <c r="F104" s="110">
        <v>175000</v>
      </c>
      <c r="G104" s="140">
        <v>1.1453610284046005</v>
      </c>
      <c r="H104" s="112">
        <v>3.2070108795328816</v>
      </c>
      <c r="I104" s="112">
        <v>3.4360830852138009</v>
      </c>
      <c r="J104" s="112">
        <v>4.5814441136184021</v>
      </c>
      <c r="K104" s="112">
        <v>5.7268051420230019</v>
      </c>
      <c r="L104" s="112">
        <v>6.8721661704276018</v>
      </c>
      <c r="M104" s="112">
        <v>7.7884549931512845</v>
      </c>
      <c r="N104" s="112">
        <v>9.1628882272368042</v>
      </c>
      <c r="O104" s="68"/>
    </row>
    <row r="105" spans="2:15" ht="15" customHeight="1" x14ac:dyDescent="0.3">
      <c r="B105" s="221"/>
      <c r="C105" s="221"/>
      <c r="E105" s="212"/>
      <c r="F105" s="110">
        <v>200000</v>
      </c>
      <c r="G105" s="140">
        <v>1.3089840324624007</v>
      </c>
      <c r="H105" s="112">
        <v>3.665155290894722</v>
      </c>
      <c r="I105" s="112">
        <v>3.926952097387201</v>
      </c>
      <c r="J105" s="112">
        <v>5.2359361298496028</v>
      </c>
      <c r="K105" s="112">
        <v>6.5449201623120024</v>
      </c>
      <c r="L105" s="112">
        <v>7.8539041947744019</v>
      </c>
      <c r="M105" s="112">
        <v>8.9010914207443239</v>
      </c>
      <c r="N105" s="112">
        <v>10.471872259699206</v>
      </c>
      <c r="O105" s="68"/>
    </row>
    <row r="106" spans="2:15" ht="15" customHeight="1" x14ac:dyDescent="0.3">
      <c r="B106" s="221"/>
      <c r="C106" s="221"/>
      <c r="O106" s="68"/>
    </row>
    <row r="107" spans="2:15" ht="15" customHeight="1" x14ac:dyDescent="0.3">
      <c r="B107" s="221"/>
      <c r="C107" s="221"/>
      <c r="O107" s="68"/>
    </row>
    <row r="108" spans="2:15" x14ac:dyDescent="0.3">
      <c r="B108" s="221"/>
      <c r="C108" s="221"/>
      <c r="G108" s="213" t="s">
        <v>123</v>
      </c>
      <c r="H108" s="213"/>
      <c r="I108" s="213"/>
      <c r="J108" s="213"/>
      <c r="K108" s="213"/>
      <c r="L108" s="213"/>
      <c r="M108" s="213"/>
      <c r="N108" s="213"/>
      <c r="O108" s="68"/>
    </row>
    <row r="109" spans="2:15" x14ac:dyDescent="0.3">
      <c r="B109" s="221"/>
      <c r="C109" s="221"/>
      <c r="F109" s="129">
        <f>C77</f>
        <v>2.4835916911043086</v>
      </c>
      <c r="G109" s="97">
        <v>2.5000000000000001E-2</v>
      </c>
      <c r="H109" s="135">
        <v>7.0000000000000007E-2</v>
      </c>
      <c r="I109" s="97">
        <v>7.4999999999999997E-2</v>
      </c>
      <c r="J109" s="97">
        <v>0.1</v>
      </c>
      <c r="K109" s="97">
        <v>0.125</v>
      </c>
      <c r="L109" s="97">
        <v>0.15</v>
      </c>
      <c r="M109" s="97">
        <v>0.17</v>
      </c>
      <c r="N109" s="97">
        <v>0.2</v>
      </c>
      <c r="O109" s="68"/>
    </row>
    <row r="110" spans="2:15" x14ac:dyDescent="0.3">
      <c r="B110" s="221"/>
      <c r="C110" s="221"/>
      <c r="E110" s="212" t="s">
        <v>79</v>
      </c>
      <c r="F110" s="193">
        <v>0</v>
      </c>
      <c r="G110" s="140">
        <f t="dataTable" ref="G110:N118" dt2D="1" dtr="1" r1="C13" r2="C14"/>
        <v>0.88699703253725315</v>
      </c>
      <c r="H110" s="138">
        <v>2.4835916911043086</v>
      </c>
      <c r="I110" s="112">
        <v>2.6609910976117592</v>
      </c>
      <c r="J110" s="112">
        <v>3.5479881301490126</v>
      </c>
      <c r="K110" s="112">
        <v>4.4349851626862646</v>
      </c>
      <c r="L110" s="112">
        <v>5.3219821952235185</v>
      </c>
      <c r="M110" s="112">
        <v>6.0315798212533203</v>
      </c>
      <c r="N110" s="112">
        <v>7.0959762602980252</v>
      </c>
      <c r="O110" s="68"/>
    </row>
    <row r="111" spans="2:15" x14ac:dyDescent="0.3">
      <c r="B111" s="221"/>
      <c r="C111" s="221"/>
      <c r="E111" s="212"/>
      <c r="F111" s="191">
        <v>15.6</v>
      </c>
      <c r="G111" s="140">
        <v>0.88699703253725315</v>
      </c>
      <c r="H111" s="112">
        <v>2.4835916911043086</v>
      </c>
      <c r="I111" s="112">
        <v>2.6609910976117592</v>
      </c>
      <c r="J111" s="112">
        <v>3.5479881301490126</v>
      </c>
      <c r="K111" s="112">
        <v>4.4349851626862646</v>
      </c>
      <c r="L111" s="112">
        <v>5.3219821952235185</v>
      </c>
      <c r="M111" s="112">
        <v>6.0315798212533203</v>
      </c>
      <c r="N111" s="112">
        <v>7.0959762602980252</v>
      </c>
      <c r="O111" s="68"/>
    </row>
    <row r="112" spans="2:15" x14ac:dyDescent="0.3">
      <c r="B112" s="221"/>
      <c r="C112" s="221"/>
      <c r="E112" s="212"/>
      <c r="F112" s="191">
        <v>20</v>
      </c>
      <c r="G112" s="140">
        <v>0.88699703253725315</v>
      </c>
      <c r="H112" s="112">
        <v>2.4835916911043086</v>
      </c>
      <c r="I112" s="112">
        <v>2.6609910976117592</v>
      </c>
      <c r="J112" s="112">
        <v>3.5479881301490126</v>
      </c>
      <c r="K112" s="112">
        <v>4.4349851626862646</v>
      </c>
      <c r="L112" s="112">
        <v>5.3219821952235185</v>
      </c>
      <c r="M112" s="112">
        <v>6.0315798212533203</v>
      </c>
      <c r="N112" s="112">
        <v>7.0959762602980252</v>
      </c>
      <c r="O112" s="68"/>
    </row>
    <row r="113" spans="1:15" x14ac:dyDescent="0.3">
      <c r="B113" s="221"/>
      <c r="C113" s="221"/>
      <c r="E113" s="212"/>
      <c r="F113" s="191">
        <v>30</v>
      </c>
      <c r="G113" s="140">
        <v>0.88699703253725315</v>
      </c>
      <c r="H113" s="112">
        <v>2.4835916911043086</v>
      </c>
      <c r="I113" s="112">
        <v>2.6609910976117592</v>
      </c>
      <c r="J113" s="112">
        <v>3.5479881301490126</v>
      </c>
      <c r="K113" s="112">
        <v>4.4349851626862646</v>
      </c>
      <c r="L113" s="112">
        <v>5.3219821952235185</v>
      </c>
      <c r="M113" s="112">
        <v>6.0315798212533203</v>
      </c>
      <c r="N113" s="112">
        <v>7.0959762602980252</v>
      </c>
      <c r="O113" s="68"/>
    </row>
    <row r="114" spans="1:15" x14ac:dyDescent="0.3">
      <c r="B114" s="221"/>
      <c r="C114" s="221"/>
      <c r="E114" s="212"/>
      <c r="F114" s="193">
        <v>40.5</v>
      </c>
      <c r="G114" s="140">
        <v>0.88699703253725315</v>
      </c>
      <c r="H114" s="138">
        <v>2.4835916911043086</v>
      </c>
      <c r="I114" s="112">
        <v>2.6609910976117592</v>
      </c>
      <c r="J114" s="112">
        <v>3.5479881301490126</v>
      </c>
      <c r="K114" s="112">
        <v>4.4349851626862646</v>
      </c>
      <c r="L114" s="112">
        <v>5.3219821952235185</v>
      </c>
      <c r="M114" s="112">
        <v>6.0315798212533203</v>
      </c>
      <c r="N114" s="112">
        <v>7.0959762602980252</v>
      </c>
      <c r="O114" s="68"/>
    </row>
    <row r="115" spans="1:15" x14ac:dyDescent="0.3">
      <c r="B115" s="221"/>
      <c r="C115" s="221"/>
      <c r="E115" s="212"/>
      <c r="F115" s="191">
        <v>50</v>
      </c>
      <c r="G115" s="140">
        <v>0.88699703253725315</v>
      </c>
      <c r="H115" s="112">
        <v>2.4835916911043086</v>
      </c>
      <c r="I115" s="112">
        <v>2.6609910976117592</v>
      </c>
      <c r="J115" s="112">
        <v>3.5479881301490126</v>
      </c>
      <c r="K115" s="112">
        <v>4.4349851626862646</v>
      </c>
      <c r="L115" s="112">
        <v>5.3219821952235185</v>
      </c>
      <c r="M115" s="112">
        <v>6.0315798212533203</v>
      </c>
      <c r="N115" s="112">
        <v>7.0959762602980252</v>
      </c>
      <c r="O115" s="68"/>
    </row>
    <row r="116" spans="1:15" x14ac:dyDescent="0.3">
      <c r="B116" s="221"/>
      <c r="C116" s="221"/>
      <c r="E116" s="212"/>
      <c r="F116" s="191">
        <v>60</v>
      </c>
      <c r="G116" s="140">
        <v>0.88699703253725315</v>
      </c>
      <c r="H116" s="112">
        <v>2.4835916911043086</v>
      </c>
      <c r="I116" s="112">
        <v>2.6609910976117592</v>
      </c>
      <c r="J116" s="112">
        <v>3.5479881301490126</v>
      </c>
      <c r="K116" s="112">
        <v>4.4349851626862646</v>
      </c>
      <c r="L116" s="112">
        <v>5.3219821952235185</v>
      </c>
      <c r="M116" s="112">
        <v>6.0315798212533203</v>
      </c>
      <c r="N116" s="112">
        <v>7.0959762602980252</v>
      </c>
      <c r="O116" s="68"/>
    </row>
    <row r="117" spans="1:15" x14ac:dyDescent="0.3">
      <c r="E117" s="212"/>
      <c r="F117" s="191">
        <v>70</v>
      </c>
      <c r="G117" s="140">
        <v>0.88699703253725315</v>
      </c>
      <c r="H117" s="112">
        <v>2.4835916911043086</v>
      </c>
      <c r="I117" s="112">
        <v>2.6609910976117592</v>
      </c>
      <c r="J117" s="112">
        <v>3.5479881301490126</v>
      </c>
      <c r="K117" s="112">
        <v>4.4349851626862646</v>
      </c>
      <c r="L117" s="112">
        <v>5.3219821952235185</v>
      </c>
      <c r="M117" s="112">
        <v>6.0315798212533203</v>
      </c>
      <c r="N117" s="112">
        <v>7.0959762602980252</v>
      </c>
      <c r="O117" s="68"/>
    </row>
    <row r="118" spans="1:15" x14ac:dyDescent="0.3">
      <c r="E118" s="212"/>
      <c r="F118" s="191">
        <v>80</v>
      </c>
      <c r="G118" s="140">
        <v>0.88699703253725315</v>
      </c>
      <c r="H118" s="112">
        <v>2.4835916911043086</v>
      </c>
      <c r="I118" s="112">
        <v>2.6609910976117592</v>
      </c>
      <c r="J118" s="112">
        <v>3.5479881301490126</v>
      </c>
      <c r="K118" s="112">
        <v>4.4349851626862646</v>
      </c>
      <c r="L118" s="112">
        <v>5.3219821952235185</v>
      </c>
      <c r="M118" s="112">
        <v>6.0315798212533203</v>
      </c>
      <c r="N118" s="112">
        <v>7.0959762602980252</v>
      </c>
      <c r="O118" s="68"/>
    </row>
    <row r="119" spans="1:15" x14ac:dyDescent="0.3">
      <c r="O119" s="68"/>
    </row>
    <row r="120" spans="1:15" x14ac:dyDescent="0.3">
      <c r="A120" s="72"/>
      <c r="B120" s="182" t="s">
        <v>58</v>
      </c>
      <c r="C120" s="72"/>
      <c r="D120" s="72"/>
      <c r="E120" s="72"/>
      <c r="F120" s="72"/>
      <c r="G120" s="72"/>
      <c r="H120" s="72"/>
      <c r="I120" s="72"/>
      <c r="J120" s="72"/>
      <c r="K120" s="72"/>
      <c r="L120" s="72"/>
      <c r="M120" s="72"/>
      <c r="N120" s="72"/>
      <c r="O120" s="73"/>
    </row>
  </sheetData>
  <sortState xmlns:xlrd2="http://schemas.microsoft.com/office/spreadsheetml/2017/richdata2" ref="O58">
    <sortCondition ref="O58"/>
  </sortState>
  <mergeCells count="12">
    <mergeCell ref="E97:E105"/>
    <mergeCell ref="G108:N108"/>
    <mergeCell ref="E110:E118"/>
    <mergeCell ref="B9:E9"/>
    <mergeCell ref="B26:B27"/>
    <mergeCell ref="B49:C49"/>
    <mergeCell ref="G83:N83"/>
    <mergeCell ref="G95:N95"/>
    <mergeCell ref="B42:B45"/>
    <mergeCell ref="B46:B48"/>
    <mergeCell ref="E85:E92"/>
    <mergeCell ref="B82:C116"/>
  </mergeCells>
  <conditionalFormatting sqref="B49 D49:M49">
    <cfRule type="cellIs" dxfId="6" priority="1" operator="lessThan">
      <formula>0</formula>
    </cfRule>
  </conditionalFormatting>
  <conditionalFormatting sqref="B18:D18">
    <cfRule type="cellIs" dxfId="5" priority="2" operator="lessThan">
      <formula>0</formula>
    </cfRule>
  </conditionalFormatting>
  <conditionalFormatting sqref="B10:F10">
    <cfRule type="cellIs" dxfId="4" priority="3" operator="lessThan">
      <formula>0</formula>
    </cfRule>
  </conditionalFormatting>
  <conditionalFormatting sqref="C58:F62">
    <cfRule type="cellIs" dxfId="3" priority="5" operator="lessThan">
      <formula>0</formula>
    </cfRule>
  </conditionalFormatting>
  <conditionalFormatting sqref="C41:M41">
    <cfRule type="cellIs" dxfId="2" priority="36" operator="lessThan">
      <formula>0</formula>
    </cfRule>
  </conditionalFormatting>
  <conditionalFormatting sqref="C53:M53">
    <cfRule type="cellIs" dxfId="1" priority="4" operator="lessThan">
      <formula>0</formula>
    </cfRule>
  </conditionalFormatting>
  <conditionalFormatting sqref="O63 I79:K79 M79">
    <cfRule type="cellIs" dxfId="0" priority="41" operator="lessThan">
      <formula>0</formula>
    </cfRule>
  </conditionalFormatting>
  <hyperlinks>
    <hyperlink ref="E13" r:id="rId1" xr:uid="{FBA4D360-51BF-47AB-9E58-210BB52940D3}"/>
    <hyperlink ref="E11" r:id="rId2" xr:uid="{BE1D3E26-E288-481A-B1C3-9110147BA21D}"/>
    <hyperlink ref="E14" r:id="rId3" xr:uid="{CC348400-E84C-4E5A-B37E-255A4DD24A17}"/>
  </hyperlinks>
  <pageMargins left="0.7" right="0.7" top="0.78740157499999996" bottom="0.78740157499999996" header="0.3" footer="0.3"/>
  <pageSetup paperSize="9" orientation="portrait"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A2D49-1F47-4CF4-8A12-07F4AFCC29BD}">
  <dimension ref="A14"/>
  <sheetViews>
    <sheetView showGridLines="0" zoomScaleNormal="100" workbookViewId="0">
      <selection activeCell="S14" sqref="S14"/>
    </sheetView>
  </sheetViews>
  <sheetFormatPr defaultColWidth="8.5546875" defaultRowHeight="14.4" x14ac:dyDescent="0.3"/>
  <sheetData>
    <row r="14" ht="70.349999999999994" customHeight="1" x14ac:dyDescent="0.3"/>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61670E027929440931DC4FF061F9A46" ma:contentTypeVersion="29" ma:contentTypeDescription="Ein neues Dokument erstellen." ma:contentTypeScope="" ma:versionID="0d88bc9cedf1ee999d8bb34fd8e7544b">
  <xsd:schema xmlns:xsd="http://www.w3.org/2001/XMLSchema" xmlns:xs="http://www.w3.org/2001/XMLSchema" xmlns:p="http://schemas.microsoft.com/office/2006/metadata/properties" xmlns:ns2="08b758c0-7f65-4904-9e43-345858c3c71c" xmlns:ns3="24dc8c7b-7b5d-4d41-8221-f7960f2ae5bd" targetNamespace="http://schemas.microsoft.com/office/2006/metadata/properties" ma:root="true" ma:fieldsID="980143298319afb703e608dd5fb72d34" ns2:_="" ns3:_="">
    <xsd:import namespace="08b758c0-7f65-4904-9e43-345858c3c71c"/>
    <xsd:import namespace="24dc8c7b-7b5d-4d41-8221-f7960f2ae5bd"/>
    <xsd:element name="properties">
      <xsd:complexType>
        <xsd:sequence>
          <xsd:element name="documentManagement">
            <xsd:complexType>
              <xsd:all>
                <xsd:element ref="ns2:Thematic_x0020_Focu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2:SharedWithUsers" minOccurs="0"/>
                <xsd:element ref="ns2:SharedWithDetails" minOccurs="0"/>
                <xsd:element ref="ns3:MediaServiceDateTaken" minOccurs="0"/>
                <xsd:element ref="ns3:MediaServiceLocation" minOccurs="0"/>
                <xsd:element ref="ns3:_Flow_SignoffStatus" minOccurs="0"/>
                <xsd:element ref="ns3:MediaLengthInSeconds" minOccurs="0"/>
                <xsd:element ref="ns2:TaxCatchAll" minOccurs="0"/>
                <xsd:element ref="ns3:lcf76f155ced4ddcb4097134ff3c332f" minOccurs="0"/>
                <xsd:element ref="ns3:PII"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758c0-7f65-4904-9e43-345858c3c71c" elementFormDefault="qualified">
    <xsd:import namespace="http://schemas.microsoft.com/office/2006/documentManagement/types"/>
    <xsd:import namespace="http://schemas.microsoft.com/office/infopath/2007/PartnerControls"/>
    <xsd:element name="Thematic_x0020_Focus" ma:index="2" nillable="true" ma:displayName="Thematic Focus" ma:list="{b8d47e44-77bd-498c-a02c-fb6e3f62fb35}" ma:internalName="Thematic_x0020_Focus" ma:showField="Title" ma:web="08b758c0-7f65-4904-9e43-345858c3c71c">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fdbe3cc-6b80-43ad-a978-0da023464680}" ma:internalName="TaxCatchAll" ma:showField="CatchAllData" ma:web="08b758c0-7f65-4904-9e43-345858c3c71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dc8c7b-7b5d-4d41-8221-f7960f2ae5bd"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Tags" ma:index="8" nillable="true" ma:displayName="Tags" ma:description="" ma:indexed="true" ma:internalName="MediaServiceAutoTags"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Flow_SignoffStatus" ma:index="21" nillable="true" ma:displayName="Status Unterschrift" ma:internalName="Status_x0020_Unterschrift">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dmarkierungen" ma:readOnly="false" ma:fieldId="{5cf76f15-5ced-4ddc-b409-7134ff3c332f}" ma:taxonomyMulti="true" ma:sspId="9b1bd33c-51cd-473d-b064-0ba0784f6672" ma:termSetId="09814cd3-568e-fe90-9814-8d621ff8fb84" ma:anchorId="fba54fb3-c3e1-fe81-a776-ca4b69148c4d" ma:open="true" ma:isKeyword="false">
      <xsd:complexType>
        <xsd:sequence>
          <xsd:element ref="pc:Terms" minOccurs="0" maxOccurs="1"/>
        </xsd:sequence>
      </xsd:complexType>
    </xsd:element>
    <xsd:element name="PII" ma:index="26" nillable="true" ma:displayName="PII" ma:default="0" ma:format="Dropdown" ma:indexed="true" ma:internalName="PII">
      <xsd:simpleType>
        <xsd:restriction base="dms:Boolea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hematic_x0020_Focus xmlns="08b758c0-7f65-4904-9e43-345858c3c71c" xsi:nil="true"/>
    <_Flow_SignoffStatus xmlns="24dc8c7b-7b5d-4d41-8221-f7960f2ae5bd" xsi:nil="true"/>
    <TaxCatchAll xmlns="08b758c0-7f65-4904-9e43-345858c3c71c" xsi:nil="true"/>
    <lcf76f155ced4ddcb4097134ff3c332f xmlns="24dc8c7b-7b5d-4d41-8221-f7960f2ae5bd">
      <Terms xmlns="http://schemas.microsoft.com/office/infopath/2007/PartnerControls"/>
    </lcf76f155ced4ddcb4097134ff3c332f>
    <PII xmlns="24dc8c7b-7b5d-4d41-8221-f7960f2ae5bd">false</PII>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346AAD-619F-4906-AA8F-678B645A10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758c0-7f65-4904-9e43-345858c3c71c"/>
    <ds:schemaRef ds:uri="24dc8c7b-7b5d-4d41-8221-f7960f2ae5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3CA661-FF88-4791-85B2-F80EA589301D}">
  <ds:schemaRefs>
    <ds:schemaRef ds:uri="http://schemas.microsoft.com/office/2006/metadata/properties"/>
    <ds:schemaRef ds:uri="http://schemas.microsoft.com/office/infopath/2007/PartnerControls"/>
    <ds:schemaRef ds:uri="08b758c0-7f65-4904-9e43-345858c3c71c"/>
    <ds:schemaRef ds:uri="24dc8c7b-7b5d-4d41-8221-f7960f2ae5bd"/>
  </ds:schemaRefs>
</ds:datastoreItem>
</file>

<file path=customXml/itemProps3.xml><?xml version="1.0" encoding="utf-8"?>
<ds:datastoreItem xmlns:ds="http://schemas.openxmlformats.org/officeDocument/2006/customXml" ds:itemID="{B17C3E72-E6CB-413E-81E7-23613E47D5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ToC</vt:lpstr>
      <vt:lpstr>Model input</vt:lpstr>
      <vt:lpstr>SROI</vt:lpstr>
      <vt:lpstr>Info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Herz, Paul</dc:creator>
  <cp:keywords/>
  <dc:description/>
  <cp:lastModifiedBy>Wiegel, Sarah</cp:lastModifiedBy>
  <cp:revision/>
  <dcterms:created xsi:type="dcterms:W3CDTF">2021-10-12T15:11:17Z</dcterms:created>
  <dcterms:modified xsi:type="dcterms:W3CDTF">2026-07-08T18:46:26Z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0x010100861670E027929440931DC4FF061F9A46</vt:lpwstr>
  </property>
  <property fmtid="{D5CDD505-2E9C-101B-9397-08002B2CF9AE}" pid="3" name="MediaServiceImageTags">
    <vt:lpwstr/>
  </property>
  <property fmtid="{D5CDD505-2E9C-101B-9397-08002B2CF9AE}" pid="4" name="ESRI_WORKBOOK_ID">
    <vt:lpwstr>06e88aeb78d44f3696358a919541faad</vt:lpwstr>
  </property>
</Properties>
</file>