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defaultThemeVersion="166925"/>
  <mc:AlternateContent xmlns:mc="http://schemas.openxmlformats.org/markup-compatibility/2006">
    <mc:Choice Requires="x15">
      <x15ac:absPath xmlns:x15ac="http://schemas.microsoft.com/office/spreadsheetml/2010/11/ac" url="https://herewegrow.sharepoint.com/sites/herewegrow.org/Freigegebene Dokumente/01 Projekte/01 Laufend/D_TNS03/06 MEL/01_SROI/"/>
    </mc:Choice>
  </mc:AlternateContent>
  <xr:revisionPtr revIDLastSave="2149" documentId="8_{F79968F1-E157-4B81-8657-6696B163B119}" xr6:coauthVersionLast="47" xr6:coauthVersionMax="47" xr10:uidLastSave="{5BB41DB7-4945-4929-98C1-A19380DEF2C9}"/>
  <bookViews>
    <workbookView xWindow="28680" yWindow="-120" windowWidth="29040" windowHeight="17520" tabRatio="635" firstSheet="2" activeTab="2" xr2:uid="{D727DE2A-A20A-4F61-A634-FF4E86980CF5}"/>
  </bookViews>
  <sheets>
    <sheet name="Summary" sheetId="7" r:id="rId1"/>
    <sheet name="ToC" sheetId="9" r:id="rId2"/>
    <sheet name="Model input" sheetId="5" r:id="rId3"/>
    <sheet name="SROI" sheetId="2" r:id="rId4"/>
    <sheet name="Info" sheetId="8" r:id="rId5"/>
  </sheets>
  <definedNames>
    <definedName name="_xlnm._FilterDatabase" localSheetId="3" hidden="1">Summary!$F$46:$G$46</definedName>
    <definedName name="_xlnm.Print_Area" localSheetId="3">SROI!$B$1:$Y$142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5" l="1"/>
  <c r="D45" i="2"/>
  <c r="C25" i="7" l="1"/>
  <c r="D122" i="2"/>
  <c r="C26" i="7" l="1"/>
  <c r="H122" i="2"/>
  <c r="G44" i="2" l="1"/>
  <c r="H44" i="2" s="1"/>
  <c r="I44" i="2" s="1"/>
  <c r="J44" i="2" s="1"/>
  <c r="K44" i="2" s="1"/>
  <c r="L44" i="2" s="1"/>
  <c r="M44" i="2" s="1"/>
  <c r="C30" i="2"/>
  <c r="C18" i="2" l="1"/>
  <c r="G122" i="2"/>
  <c r="F122" i="2"/>
  <c r="E122" i="2"/>
  <c r="D5" i="2"/>
  <c r="J32" i="5" l="1"/>
  <c r="J31" i="5" s="1"/>
  <c r="K32" i="5"/>
  <c r="K31" i="5" s="1"/>
  <c r="I32" i="5"/>
  <c r="I31" i="5" s="1"/>
  <c r="H32" i="5"/>
  <c r="H31" i="5" s="1"/>
  <c r="G32" i="5"/>
  <c r="G31" i="5" s="1"/>
  <c r="F32" i="5"/>
  <c r="F31" i="5" s="1"/>
  <c r="E32" i="5"/>
  <c r="E31" i="5" s="1"/>
  <c r="D32" i="5"/>
  <c r="D31" i="5" s="1"/>
  <c r="C32" i="5"/>
  <c r="C31" i="5" s="1"/>
  <c r="N38" i="5"/>
  <c r="M38" i="5"/>
  <c r="L38" i="5"/>
  <c r="K38" i="5"/>
  <c r="J38" i="5"/>
  <c r="I38" i="5"/>
  <c r="Q84" i="2" l="1"/>
  <c r="Q83" i="2"/>
  <c r="R84" i="2" s="1"/>
  <c r="Q82" i="2"/>
  <c r="R83" i="2" s="1"/>
  <c r="S84" i="2" s="1"/>
  <c r="Q81" i="2"/>
  <c r="R82" i="2" s="1"/>
  <c r="S83" i="2" s="1"/>
  <c r="T84" i="2" s="1"/>
  <c r="Q80" i="2"/>
  <c r="R81" i="2" s="1"/>
  <c r="S82" i="2" s="1"/>
  <c r="T83" i="2" s="1"/>
  <c r="U84" i="2" s="1"/>
  <c r="Q79" i="2"/>
  <c r="R80" i="2" s="1"/>
  <c r="S81" i="2" s="1"/>
  <c r="T82" i="2" s="1"/>
  <c r="U83" i="2" s="1"/>
  <c r="V84" i="2" s="1"/>
  <c r="Q78" i="2"/>
  <c r="R79" i="2" s="1"/>
  <c r="S80" i="2" s="1"/>
  <c r="T81" i="2" s="1"/>
  <c r="U82" i="2" s="1"/>
  <c r="V83" i="2" s="1"/>
  <c r="W84" i="2" s="1"/>
  <c r="Q52" i="2"/>
  <c r="Q51" i="2"/>
  <c r="R52" i="2" s="1"/>
  <c r="Q50" i="2"/>
  <c r="R51" i="2" s="1"/>
  <c r="S52" i="2" s="1"/>
  <c r="Q49" i="2"/>
  <c r="R50" i="2" s="1"/>
  <c r="S51" i="2" s="1"/>
  <c r="T52" i="2" s="1"/>
  <c r="Q48" i="2"/>
  <c r="R49" i="2" s="1"/>
  <c r="S50" i="2" s="1"/>
  <c r="T51" i="2" s="1"/>
  <c r="U52" i="2" s="1"/>
  <c r="Q47" i="2"/>
  <c r="R48" i="2" s="1"/>
  <c r="S49" i="2" s="1"/>
  <c r="T50" i="2" s="1"/>
  <c r="U51" i="2" s="1"/>
  <c r="V52" i="2" s="1"/>
  <c r="Q46" i="2"/>
  <c r="R47" i="2" s="1"/>
  <c r="S48" i="2" s="1"/>
  <c r="T49" i="2" s="1"/>
  <c r="U50" i="2" s="1"/>
  <c r="V51" i="2" s="1"/>
  <c r="W52" i="2" s="1"/>
  <c r="C27" i="5" l="1"/>
  <c r="F27" i="5"/>
  <c r="D26" i="5"/>
  <c r="I26" i="5" s="1"/>
  <c r="E35" i="2"/>
  <c r="E36" i="2"/>
  <c r="E37" i="2"/>
  <c r="E45" i="2" l="1"/>
  <c r="G26" i="5"/>
  <c r="O26" i="5"/>
  <c r="N26" i="5"/>
  <c r="H26" i="5"/>
  <c r="M26" i="5"/>
  <c r="L26" i="5"/>
  <c r="K26" i="5"/>
  <c r="J26" i="5"/>
  <c r="F40" i="5"/>
  <c r="G39" i="5"/>
  <c r="G40" i="5"/>
  <c r="G53" i="2" l="1"/>
  <c r="C40" i="5" l="1"/>
  <c r="D40" i="5"/>
  <c r="D48" i="2" s="1"/>
  <c r="E40" i="5"/>
  <c r="C39" i="5"/>
  <c r="D39" i="5"/>
  <c r="E39" i="5"/>
  <c r="F39" i="5"/>
  <c r="E61" i="2"/>
  <c r="E95" i="2" s="1"/>
  <c r="D76" i="2"/>
  <c r="D77" i="2" s="1"/>
  <c r="G86" i="2"/>
  <c r="H52" i="2"/>
  <c r="I52" i="2" s="1"/>
  <c r="J52" i="2" s="1"/>
  <c r="K52" i="2" s="1"/>
  <c r="L52" i="2" s="1"/>
  <c r="M52" i="2" s="1"/>
  <c r="H53" i="2"/>
  <c r="I53" i="2" s="1"/>
  <c r="J53" i="2" s="1"/>
  <c r="K53" i="2" s="1"/>
  <c r="L53" i="2" s="1"/>
  <c r="M53" i="2" s="1"/>
  <c r="D85" i="2"/>
  <c r="E85" i="2"/>
  <c r="F85" i="2" s="1"/>
  <c r="N115" i="2"/>
  <c r="J39" i="5" l="1"/>
  <c r="I39" i="5"/>
  <c r="H39" i="5"/>
  <c r="N39" i="5"/>
  <c r="M39" i="5"/>
  <c r="L39" i="5"/>
  <c r="K39" i="5"/>
  <c r="I40" i="5"/>
  <c r="H40" i="5"/>
  <c r="M40" i="5"/>
  <c r="L40" i="5"/>
  <c r="K40" i="5"/>
  <c r="J40" i="5"/>
  <c r="N40" i="5"/>
  <c r="H86" i="2"/>
  <c r="I86" i="2" l="1"/>
  <c r="H85" i="2"/>
  <c r="D123" i="2"/>
  <c r="D124" i="2" s="1"/>
  <c r="E76" i="2"/>
  <c r="F76" i="2" s="1"/>
  <c r="G76" i="2" s="1"/>
  <c r="H76" i="2" s="1"/>
  <c r="I76" i="2" s="1"/>
  <c r="J76" i="2" s="1"/>
  <c r="K76" i="2" s="1"/>
  <c r="L76" i="2" s="1"/>
  <c r="M76" i="2" s="1"/>
  <c r="E77" i="2" l="1"/>
  <c r="E80" i="2" s="1"/>
  <c r="I85" i="2"/>
  <c r="J86" i="2"/>
  <c r="K86" i="2" l="1"/>
  <c r="J85" i="2"/>
  <c r="D80" i="2"/>
  <c r="K85" i="2" l="1"/>
  <c r="L86" i="2"/>
  <c r="M86" i="2" l="1"/>
  <c r="L85" i="2"/>
  <c r="E27" i="5"/>
  <c r="E48" i="2"/>
  <c r="M85" i="2" l="1"/>
  <c r="F45" i="2" l="1"/>
  <c r="F48" i="2" s="1"/>
  <c r="F77" i="2"/>
  <c r="F80" i="2" s="1"/>
  <c r="G45" i="2" l="1"/>
  <c r="G48" i="2" s="1"/>
  <c r="G77" i="2"/>
  <c r="G80" i="2" s="1"/>
  <c r="H45" i="2"/>
  <c r="H77" i="2" l="1"/>
  <c r="H80" i="2" s="1"/>
  <c r="I45" i="2"/>
  <c r="I77" i="2" l="1"/>
  <c r="I80" i="2" s="1"/>
  <c r="J45" i="2"/>
  <c r="J77" i="2" l="1"/>
  <c r="J80" i="2" s="1"/>
  <c r="K45" i="2"/>
  <c r="K77" i="2" l="1"/>
  <c r="K80" i="2" s="1"/>
  <c r="L45" i="2"/>
  <c r="L77" i="2" l="1"/>
  <c r="L80" i="2" s="1"/>
  <c r="M77" i="2"/>
  <c r="M45" i="2"/>
  <c r="M80" i="2" l="1"/>
  <c r="F123" i="2" l="1"/>
  <c r="F124" i="2" s="1"/>
  <c r="G123" i="2"/>
  <c r="G124" i="2" s="1"/>
  <c r="C33" i="5" l="1"/>
  <c r="C34" i="5" s="1"/>
  <c r="D33" i="5"/>
  <c r="D34" i="5" s="1"/>
  <c r="E33" i="5"/>
  <c r="E34" i="5" s="1"/>
  <c r="F33" i="5"/>
  <c r="F34" i="5" s="1"/>
  <c r="G33" i="5"/>
  <c r="G34" i="5" s="1"/>
  <c r="H33" i="5"/>
  <c r="H34" i="5" s="1"/>
  <c r="I33" i="5"/>
  <c r="I34" i="5" s="1"/>
  <c r="J33" i="5"/>
  <c r="J34" i="5" s="1"/>
  <c r="K33" i="5"/>
  <c r="K34" i="5" s="1"/>
  <c r="P53" i="2" l="1"/>
  <c r="D87" i="2"/>
  <c r="P76" i="2" s="1"/>
  <c r="Q77" i="2" s="1"/>
  <c r="R78" i="2" s="1"/>
  <c r="S79" i="2" s="1"/>
  <c r="T80" i="2" s="1"/>
  <c r="U81" i="2" l="1"/>
  <c r="V82" i="2" s="1"/>
  <c r="W83" i="2" s="1"/>
  <c r="X84" i="2" s="1"/>
  <c r="P85" i="2"/>
  <c r="D88" i="2" s="1"/>
  <c r="D89" i="2" s="1"/>
  <c r="D78" i="2"/>
  <c r="D79" i="2" s="1"/>
  <c r="D27" i="5" l="1"/>
  <c r="G27" i="5" l="1"/>
  <c r="O27" i="5"/>
  <c r="I27" i="5"/>
  <c r="J27" i="5"/>
  <c r="H27" i="5"/>
  <c r="N27" i="5"/>
  <c r="L27" i="5"/>
  <c r="M27" i="5"/>
  <c r="K27" i="5"/>
  <c r="D81" i="2"/>
  <c r="E62" i="2"/>
  <c r="E63" i="2" s="1"/>
  <c r="D82" i="2" l="1"/>
  <c r="D83" i="2" s="1"/>
  <c r="D84" i="2" s="1"/>
  <c r="E64" i="2"/>
  <c r="F62" i="2"/>
  <c r="F63" i="2" s="1"/>
  <c r="G62" i="2" l="1"/>
  <c r="G63" i="2" s="1"/>
  <c r="F64" i="2"/>
  <c r="H123" i="2"/>
  <c r="H124" i="2" s="1"/>
  <c r="H62" i="2" l="1"/>
  <c r="H63" i="2" s="1"/>
  <c r="G64" i="2"/>
  <c r="H48" i="2"/>
  <c r="I48" i="2"/>
  <c r="J48" i="2"/>
  <c r="K48" i="2"/>
  <c r="L48" i="2"/>
  <c r="M48" i="2"/>
  <c r="E96" i="2"/>
  <c r="E97" i="2" s="1"/>
  <c r="E78" i="2"/>
  <c r="E79" i="2" l="1"/>
  <c r="E81" i="2" s="1"/>
  <c r="H64" i="2"/>
  <c r="I62" i="2"/>
  <c r="I63" i="2" s="1"/>
  <c r="E98" i="2"/>
  <c r="D46" i="2"/>
  <c r="D47" i="2" s="1"/>
  <c r="F96" i="2"/>
  <c r="F97" i="2" s="1"/>
  <c r="E46" i="2"/>
  <c r="E47" i="2" s="1"/>
  <c r="F78" i="2"/>
  <c r="F46" i="2"/>
  <c r="F47" i="2" s="1"/>
  <c r="E82" i="2" l="1"/>
  <c r="E83" i="2" s="1"/>
  <c r="E84" i="2" s="1"/>
  <c r="F79" i="2"/>
  <c r="F81" i="2" s="1"/>
  <c r="E99" i="2"/>
  <c r="I64" i="2"/>
  <c r="J62" i="2"/>
  <c r="J63" i="2" s="1"/>
  <c r="F98" i="2"/>
  <c r="G96" i="2"/>
  <c r="G97" i="2" s="1"/>
  <c r="G78" i="2"/>
  <c r="G46" i="2"/>
  <c r="G47" i="2" s="1"/>
  <c r="F82" i="2" l="1"/>
  <c r="F83" i="2" s="1"/>
  <c r="F84" i="2" s="1"/>
  <c r="G79" i="2"/>
  <c r="G81" i="2" s="1"/>
  <c r="F99" i="2"/>
  <c r="K62" i="2"/>
  <c r="K63" i="2" s="1"/>
  <c r="J64" i="2"/>
  <c r="G98" i="2"/>
  <c r="H96" i="2"/>
  <c r="H97" i="2" s="1"/>
  <c r="H78" i="2"/>
  <c r="H46" i="2"/>
  <c r="H47" i="2" s="1"/>
  <c r="G82" i="2" l="1"/>
  <c r="G83" i="2" s="1"/>
  <c r="G84" i="2" s="1"/>
  <c r="H79" i="2"/>
  <c r="H81" i="2" s="1"/>
  <c r="G99" i="2"/>
  <c r="K64" i="2"/>
  <c r="L62" i="2"/>
  <c r="L63" i="2" s="1"/>
  <c r="H98" i="2"/>
  <c r="I96" i="2"/>
  <c r="I97" i="2" s="1"/>
  <c r="I78" i="2"/>
  <c r="I46" i="2"/>
  <c r="I47" i="2" s="1"/>
  <c r="H82" i="2" l="1"/>
  <c r="H83" i="2" s="1"/>
  <c r="H84" i="2" s="1"/>
  <c r="I79" i="2"/>
  <c r="I81" i="2" s="1"/>
  <c r="H99" i="2"/>
  <c r="L64" i="2"/>
  <c r="M62" i="2"/>
  <c r="M63" i="2" s="1"/>
  <c r="I98" i="2"/>
  <c r="J96" i="2"/>
  <c r="J97" i="2" s="1"/>
  <c r="J78" i="2"/>
  <c r="J46" i="2"/>
  <c r="J47" i="2" s="1"/>
  <c r="I82" i="2" l="1"/>
  <c r="I83" i="2" s="1"/>
  <c r="I84" i="2" s="1"/>
  <c r="J79" i="2"/>
  <c r="J81" i="2" s="1"/>
  <c r="I99" i="2"/>
  <c r="M64" i="2"/>
  <c r="F49" i="7" s="1"/>
  <c r="J98" i="2"/>
  <c r="K96" i="2"/>
  <c r="K97" i="2" s="1"/>
  <c r="K78" i="2"/>
  <c r="K46" i="2"/>
  <c r="K47" i="2" s="1"/>
  <c r="J49" i="2"/>
  <c r="J50" i="2" s="1"/>
  <c r="J82" i="2" l="1"/>
  <c r="J83" i="2" s="1"/>
  <c r="J84" i="2" s="1"/>
  <c r="K79" i="2"/>
  <c r="K81" i="2" s="1"/>
  <c r="J99" i="2"/>
  <c r="K98" i="2"/>
  <c r="L96" i="2"/>
  <c r="L97" i="2" s="1"/>
  <c r="L78" i="2"/>
  <c r="L46" i="2"/>
  <c r="L47" i="2" s="1"/>
  <c r="F87" i="2"/>
  <c r="R76" i="2" s="1"/>
  <c r="E87" i="2"/>
  <c r="Q76" i="2" s="1"/>
  <c r="K82" i="2" l="1"/>
  <c r="K83" i="2" s="1"/>
  <c r="K84" i="2" s="1"/>
  <c r="L79" i="2"/>
  <c r="L81" i="2" s="1"/>
  <c r="R77" i="2"/>
  <c r="S78" i="2" s="1"/>
  <c r="T79" i="2" s="1"/>
  <c r="U80" i="2" s="1"/>
  <c r="V81" i="2" s="1"/>
  <c r="W82" i="2" s="1"/>
  <c r="X83" i="2" s="1"/>
  <c r="Y84" i="2" s="1"/>
  <c r="Q85" i="2"/>
  <c r="E88" i="2" s="1"/>
  <c r="S77" i="2"/>
  <c r="T78" i="2" s="1"/>
  <c r="U79" i="2" s="1"/>
  <c r="V80" i="2" s="1"/>
  <c r="W81" i="2" s="1"/>
  <c r="X82" i="2" s="1"/>
  <c r="Y83" i="2" s="1"/>
  <c r="J51" i="2"/>
  <c r="K99" i="2"/>
  <c r="L98" i="2"/>
  <c r="M96" i="2"/>
  <c r="M97" i="2" s="1"/>
  <c r="M78" i="2"/>
  <c r="L82" i="2" l="1"/>
  <c r="L83" i="2" s="1"/>
  <c r="L84" i="2" s="1"/>
  <c r="M79" i="2"/>
  <c r="M81" i="2" s="1"/>
  <c r="R85" i="2"/>
  <c r="F88" i="2" s="1"/>
  <c r="M98" i="2"/>
  <c r="M99" i="2" s="1"/>
  <c r="L99" i="2"/>
  <c r="M46" i="2"/>
  <c r="M47" i="2" s="1"/>
  <c r="C13" i="7"/>
  <c r="M87" i="2"/>
  <c r="Y76" i="2" s="1"/>
  <c r="L87" i="2"/>
  <c r="X76" i="2" s="1"/>
  <c r="K87" i="2"/>
  <c r="W76" i="2" s="1"/>
  <c r="J87" i="2"/>
  <c r="V76" i="2" s="1"/>
  <c r="I87" i="2"/>
  <c r="U76" i="2" s="1"/>
  <c r="H87" i="2"/>
  <c r="T76" i="2" s="1"/>
  <c r="G87" i="2"/>
  <c r="S76" i="2" s="1"/>
  <c r="M82" i="2" l="1"/>
  <c r="M83" i="2" s="1"/>
  <c r="M84" i="2" s="1"/>
  <c r="Y77" i="2"/>
  <c r="T77" i="2"/>
  <c r="U78" i="2" s="1"/>
  <c r="V79" i="2" s="1"/>
  <c r="W80" i="2" s="1"/>
  <c r="X81" i="2" s="1"/>
  <c r="Y82" i="2" s="1"/>
  <c r="S85" i="2"/>
  <c r="G88" i="2" s="1"/>
  <c r="U77" i="2"/>
  <c r="V78" i="2" s="1"/>
  <c r="W79" i="2" s="1"/>
  <c r="X80" i="2" s="1"/>
  <c r="Y81" i="2" s="1"/>
  <c r="V77" i="2"/>
  <c r="W78" i="2" s="1"/>
  <c r="X79" i="2" s="1"/>
  <c r="Y80" i="2" s="1"/>
  <c r="W77" i="2"/>
  <c r="X78" i="2" s="1"/>
  <c r="Y79" i="2" s="1"/>
  <c r="X77" i="2"/>
  <c r="Y78" i="2" s="1"/>
  <c r="G49" i="7"/>
  <c r="E123" i="2"/>
  <c r="E124" i="2" s="1"/>
  <c r="T85" i="2" l="1"/>
  <c r="H88" i="2" s="1"/>
  <c r="Y85" i="2"/>
  <c r="M88" i="2" s="1"/>
  <c r="W85" i="2"/>
  <c r="K88" i="2" s="1"/>
  <c r="V85" i="2"/>
  <c r="J88" i="2" s="1"/>
  <c r="X85" i="2"/>
  <c r="L88" i="2" s="1"/>
  <c r="U85" i="2"/>
  <c r="I88" i="2" s="1"/>
  <c r="G47" i="7"/>
  <c r="C126" i="2"/>
  <c r="C127" i="2" s="1"/>
  <c r="M54" i="2"/>
  <c r="Y44" i="2" s="1"/>
  <c r="E54" i="2"/>
  <c r="Q44" i="2" s="1"/>
  <c r="F54" i="2"/>
  <c r="R44" i="2" s="1"/>
  <c r="G54" i="2"/>
  <c r="S44" i="2" s="1"/>
  <c r="H54" i="2"/>
  <c r="T44" i="2" s="1"/>
  <c r="I54" i="2"/>
  <c r="U44" i="2" s="1"/>
  <c r="J54" i="2"/>
  <c r="V44" i="2" s="1"/>
  <c r="K54" i="2"/>
  <c r="W44" i="2" s="1"/>
  <c r="L54" i="2"/>
  <c r="X44" i="2" s="1"/>
  <c r="D54" i="2"/>
  <c r="P44" i="2" s="1"/>
  <c r="R45" i="2" l="1"/>
  <c r="S46" i="2" s="1"/>
  <c r="T47" i="2" s="1"/>
  <c r="U48" i="2" s="1"/>
  <c r="V49" i="2" s="1"/>
  <c r="W50" i="2" s="1"/>
  <c r="X51" i="2" s="1"/>
  <c r="Y52" i="2" s="1"/>
  <c r="Q45" i="2"/>
  <c r="R46" i="2" s="1"/>
  <c r="S47" i="2" s="1"/>
  <c r="T48" i="2" s="1"/>
  <c r="U49" i="2" s="1"/>
  <c r="V50" i="2" s="1"/>
  <c r="W51" i="2" s="1"/>
  <c r="X52" i="2" s="1"/>
  <c r="D55" i="2"/>
  <c r="S45" i="2"/>
  <c r="T46" i="2" s="1"/>
  <c r="U47" i="2" s="1"/>
  <c r="V48" i="2" s="1"/>
  <c r="W49" i="2" s="1"/>
  <c r="X50" i="2" s="1"/>
  <c r="Y51" i="2" s="1"/>
  <c r="T45" i="2"/>
  <c r="U46" i="2" s="1"/>
  <c r="V47" i="2" s="1"/>
  <c r="W48" i="2" s="1"/>
  <c r="X49" i="2" s="1"/>
  <c r="Y50" i="2" s="1"/>
  <c r="Y45" i="2"/>
  <c r="X45" i="2"/>
  <c r="Y46" i="2" s="1"/>
  <c r="V45" i="2"/>
  <c r="W46" i="2" s="1"/>
  <c r="X47" i="2" s="1"/>
  <c r="Y48" i="2" s="1"/>
  <c r="U45" i="2"/>
  <c r="V46" i="2" s="1"/>
  <c r="W47" i="2" s="1"/>
  <c r="X48" i="2" s="1"/>
  <c r="Y49" i="2" s="1"/>
  <c r="W45" i="2"/>
  <c r="X46" i="2" s="1"/>
  <c r="Y47" i="2" s="1"/>
  <c r="D56" i="2" l="1"/>
  <c r="D57" i="2" s="1"/>
  <c r="D58" i="2" s="1"/>
  <c r="R53" i="2"/>
  <c r="F55" i="2" s="1"/>
  <c r="S53" i="2"/>
  <c r="G55" i="2" s="1"/>
  <c r="Q53" i="2"/>
  <c r="T53" i="2"/>
  <c r="H55" i="2" s="1"/>
  <c r="W53" i="2"/>
  <c r="K55" i="2" s="1"/>
  <c r="Y53" i="2"/>
  <c r="M55" i="2" s="1"/>
  <c r="V53" i="2"/>
  <c r="J55" i="2" s="1"/>
  <c r="X53" i="2"/>
  <c r="L55" i="2" s="1"/>
  <c r="U53" i="2"/>
  <c r="I55" i="2" s="1"/>
  <c r="D67" i="2"/>
  <c r="C51" i="7"/>
  <c r="D68" i="7"/>
  <c r="D68" i="2" l="1"/>
  <c r="D69" i="2" s="1"/>
  <c r="E55" i="2"/>
  <c r="M49" i="2"/>
  <c r="M50" i="2" s="1"/>
  <c r="D59" i="2" l="1"/>
  <c r="D60" i="2" s="1"/>
  <c r="F56" i="2"/>
  <c r="F67" i="2"/>
  <c r="E56" i="2"/>
  <c r="E67" i="2"/>
  <c r="E57" i="2" l="1"/>
  <c r="E58" i="2" s="1"/>
  <c r="E59" i="2" s="1"/>
  <c r="E60" i="2" s="1"/>
  <c r="F57" i="2"/>
  <c r="F58" i="2" s="1"/>
  <c r="F59" i="2" s="1"/>
  <c r="F60" i="2" s="1"/>
  <c r="E68" i="2"/>
  <c r="E69" i="2" s="1"/>
  <c r="F68" i="2"/>
  <c r="F69" i="2" s="1"/>
  <c r="M51" i="2"/>
  <c r="G56" i="2"/>
  <c r="G57" i="2" s="1"/>
  <c r="G67" i="2"/>
  <c r="G68" i="2" l="1"/>
  <c r="G69" i="2" s="1"/>
  <c r="G58" i="2"/>
  <c r="H56" i="2"/>
  <c r="H67" i="2"/>
  <c r="H57" i="2" l="1"/>
  <c r="H58" i="2" s="1"/>
  <c r="H59" i="2" s="1"/>
  <c r="H60" i="2" s="1"/>
  <c r="H68" i="2"/>
  <c r="H69" i="2" s="1"/>
  <c r="G59" i="2"/>
  <c r="G60" i="2" s="1"/>
  <c r="I56" i="2"/>
  <c r="I67" i="2"/>
  <c r="I57" i="2" l="1"/>
  <c r="I58" i="2" s="1"/>
  <c r="I59" i="2" s="1"/>
  <c r="I60" i="2" s="1"/>
  <c r="I68" i="2"/>
  <c r="I69" i="2" s="1"/>
  <c r="J56" i="2"/>
  <c r="J67" i="2"/>
  <c r="J57" i="2" l="1"/>
  <c r="J58" i="2" s="1"/>
  <c r="J68" i="2"/>
  <c r="J69" i="2" s="1"/>
  <c r="K56" i="2"/>
  <c r="K67" i="2"/>
  <c r="J59" i="2" l="1"/>
  <c r="J60" i="2" s="1"/>
  <c r="J72" i="2" s="1"/>
  <c r="J115" i="2" s="1"/>
  <c r="J70" i="2"/>
  <c r="K57" i="2"/>
  <c r="K58" i="2" s="1"/>
  <c r="K59" i="2" s="1"/>
  <c r="K60" i="2" s="1"/>
  <c r="K68" i="2"/>
  <c r="K69" i="2" s="1"/>
  <c r="M56" i="2"/>
  <c r="M67" i="2"/>
  <c r="L56" i="2"/>
  <c r="L67" i="2"/>
  <c r="L49" i="2"/>
  <c r="L50" i="2" s="1"/>
  <c r="I49" i="2"/>
  <c r="H49" i="2"/>
  <c r="K49" i="2"/>
  <c r="E49" i="2"/>
  <c r="G49" i="2"/>
  <c r="D49" i="2"/>
  <c r="F49" i="2"/>
  <c r="J71" i="2" l="1"/>
  <c r="L57" i="2"/>
  <c r="L58" i="2" s="1"/>
  <c r="M57" i="2"/>
  <c r="M58" i="2" s="1"/>
  <c r="F70" i="2"/>
  <c r="F50" i="2"/>
  <c r="D70" i="2"/>
  <c r="D50" i="2"/>
  <c r="G70" i="2"/>
  <c r="G50" i="2"/>
  <c r="E70" i="2"/>
  <c r="E50" i="2"/>
  <c r="K70" i="2"/>
  <c r="K50" i="2"/>
  <c r="H70" i="2"/>
  <c r="H50" i="2"/>
  <c r="I70" i="2"/>
  <c r="I50" i="2"/>
  <c r="M68" i="2"/>
  <c r="M69" i="2" s="1"/>
  <c r="L68" i="2"/>
  <c r="L69" i="2" s="1"/>
  <c r="M59" i="2" l="1"/>
  <c r="M60" i="2" s="1"/>
  <c r="M72" i="2" s="1"/>
  <c r="M115" i="2" s="1"/>
  <c r="M70" i="2"/>
  <c r="L59" i="2"/>
  <c r="L60" i="2" s="1"/>
  <c r="L70" i="2"/>
  <c r="F50" i="7"/>
  <c r="H51" i="2"/>
  <c r="H72" i="2" s="1"/>
  <c r="H115" i="2" s="1"/>
  <c r="H71" i="2"/>
  <c r="I51" i="2"/>
  <c r="I72" i="2" s="1"/>
  <c r="I115" i="2" s="1"/>
  <c r="I71" i="2"/>
  <c r="K51" i="2"/>
  <c r="K72" i="2" s="1"/>
  <c r="K115" i="2" s="1"/>
  <c r="K71" i="2"/>
  <c r="G51" i="2"/>
  <c r="G72" i="2" s="1"/>
  <c r="G115" i="2" s="1"/>
  <c r="G71" i="2"/>
  <c r="L51" i="2"/>
  <c r="E51" i="2"/>
  <c r="E72" i="2" s="1"/>
  <c r="E115" i="2" s="1"/>
  <c r="E71" i="2"/>
  <c r="F51" i="2"/>
  <c r="F72" i="2" s="1"/>
  <c r="F115" i="2" s="1"/>
  <c r="F71" i="2"/>
  <c r="D51" i="2"/>
  <c r="D72" i="2" s="1"/>
  <c r="D115" i="2" s="1"/>
  <c r="D71" i="2"/>
  <c r="D102" i="2"/>
  <c r="D103" i="2" s="1"/>
  <c r="C137" i="2" l="1"/>
  <c r="L71" i="2"/>
  <c r="L72" i="2"/>
  <c r="L115" i="2" s="1"/>
  <c r="M71" i="2"/>
  <c r="F48" i="7"/>
  <c r="F51" i="7" s="1"/>
  <c r="F47" i="7"/>
  <c r="D90" i="2"/>
  <c r="D66" i="7" l="1"/>
  <c r="C133" i="2"/>
  <c r="C48" i="7" s="1"/>
  <c r="D117" i="2"/>
  <c r="D104" i="2"/>
  <c r="D105" i="2" s="1"/>
  <c r="E89" i="2"/>
  <c r="E90" i="2" s="1"/>
  <c r="E102" i="2"/>
  <c r="E103" i="2" s="1"/>
  <c r="E104" i="2" l="1"/>
  <c r="E105" i="2" s="1"/>
  <c r="E91" i="2"/>
  <c r="D91" i="2"/>
  <c r="F89" i="2"/>
  <c r="F90" i="2" s="1"/>
  <c r="F102" i="2"/>
  <c r="F103" i="2" s="1"/>
  <c r="E92" i="2" l="1"/>
  <c r="E93" i="2" s="1"/>
  <c r="E107" i="2" s="1"/>
  <c r="E106" i="2"/>
  <c r="D92" i="2"/>
  <c r="D93" i="2" s="1"/>
  <c r="D106" i="2"/>
  <c r="F104" i="2"/>
  <c r="F105" i="2" s="1"/>
  <c r="F91" i="2"/>
  <c r="G89" i="2"/>
  <c r="G90" i="2" s="1"/>
  <c r="G102" i="2"/>
  <c r="G103" i="2" s="1"/>
  <c r="F92" i="2" l="1"/>
  <c r="F93" i="2" s="1"/>
  <c r="F106" i="2"/>
  <c r="E94" i="2"/>
  <c r="E108" i="2" s="1"/>
  <c r="F116" i="2" s="1"/>
  <c r="F117" i="2" s="1"/>
  <c r="G104" i="2"/>
  <c r="G105" i="2" s="1"/>
  <c r="D94" i="2"/>
  <c r="D107" i="2"/>
  <c r="G91" i="2"/>
  <c r="H89" i="2"/>
  <c r="H102" i="2"/>
  <c r="H103" i="2" s="1"/>
  <c r="G92" i="2" l="1"/>
  <c r="G93" i="2" s="1"/>
  <c r="G107" i="2" s="1"/>
  <c r="G106" i="2"/>
  <c r="H90" i="2"/>
  <c r="H91" i="2" s="1"/>
  <c r="H106" i="2" s="1"/>
  <c r="F107" i="2"/>
  <c r="F94" i="2"/>
  <c r="F108" i="2" s="1"/>
  <c r="G116" i="2" s="1"/>
  <c r="G117" i="2" s="1"/>
  <c r="H104" i="2"/>
  <c r="H105" i="2" s="1"/>
  <c r="D108" i="2"/>
  <c r="I89" i="2"/>
  <c r="I90" i="2" s="1"/>
  <c r="I102" i="2"/>
  <c r="I103" i="2" s="1"/>
  <c r="H92" i="2" l="1"/>
  <c r="H93" i="2" s="1"/>
  <c r="H94" i="2" s="1"/>
  <c r="E116" i="2"/>
  <c r="I104" i="2"/>
  <c r="I105" i="2" s="1"/>
  <c r="G94" i="2"/>
  <c r="G108" i="2" s="1"/>
  <c r="H116" i="2" s="1"/>
  <c r="H117" i="2" s="1"/>
  <c r="I91" i="2"/>
  <c r="M89" i="2"/>
  <c r="M102" i="2"/>
  <c r="M103" i="2" s="1"/>
  <c r="J89" i="2"/>
  <c r="J90" i="2" s="1"/>
  <c r="J102" i="2"/>
  <c r="J103" i="2" s="1"/>
  <c r="I92" i="2" l="1"/>
  <c r="I93" i="2" s="1"/>
  <c r="I107" i="2" s="1"/>
  <c r="I106" i="2"/>
  <c r="H107" i="2"/>
  <c r="M90" i="2"/>
  <c r="M91" i="2" s="1"/>
  <c r="M106" i="2" s="1"/>
  <c r="E117" i="2"/>
  <c r="M104" i="2"/>
  <c r="M105" i="2" s="1"/>
  <c r="J104" i="2"/>
  <c r="J105" i="2" s="1"/>
  <c r="H108" i="2"/>
  <c r="I116" i="2" s="1"/>
  <c r="I117" i="2" s="1"/>
  <c r="J91" i="2"/>
  <c r="K89" i="2"/>
  <c r="K102" i="2"/>
  <c r="K103" i="2" s="1"/>
  <c r="J92" i="2" l="1"/>
  <c r="J93" i="2" s="1"/>
  <c r="J107" i="2" s="1"/>
  <c r="J106" i="2"/>
  <c r="M92" i="2"/>
  <c r="M93" i="2" s="1"/>
  <c r="M94" i="2" s="1"/>
  <c r="K90" i="2"/>
  <c r="K91" i="2" s="1"/>
  <c r="K106" i="2" s="1"/>
  <c r="K104" i="2"/>
  <c r="K105" i="2" s="1"/>
  <c r="I94" i="2"/>
  <c r="I108" i="2" s="1"/>
  <c r="J116" i="2" s="1"/>
  <c r="J117" i="2" s="1"/>
  <c r="L89" i="2"/>
  <c r="L90" i="2" s="1"/>
  <c r="L102" i="2"/>
  <c r="L103" i="2" s="1"/>
  <c r="M107" i="2" l="1"/>
  <c r="K92" i="2"/>
  <c r="K93" i="2" s="1"/>
  <c r="K107" i="2" s="1"/>
  <c r="L104" i="2"/>
  <c r="L105" i="2" s="1"/>
  <c r="G50" i="7" s="1"/>
  <c r="M108" i="2"/>
  <c r="N116" i="2" s="1"/>
  <c r="N117" i="2" s="1"/>
  <c r="J94" i="2"/>
  <c r="J108" i="2" s="1"/>
  <c r="K116" i="2" s="1"/>
  <c r="K117" i="2" s="1"/>
  <c r="L91" i="2"/>
  <c r="L92" i="2" l="1"/>
  <c r="L93" i="2" s="1"/>
  <c r="L107" i="2" s="1"/>
  <c r="L106" i="2"/>
  <c r="K94" i="2"/>
  <c r="K108" i="2" s="1"/>
  <c r="L116" i="2" s="1"/>
  <c r="L117" i="2" s="1"/>
  <c r="L94" i="2" l="1"/>
  <c r="L108" i="2" s="1"/>
  <c r="C134" i="2" s="1"/>
  <c r="C49" i="7" s="1"/>
  <c r="G48" i="7" l="1"/>
  <c r="G51" i="7" s="1"/>
  <c r="M116" i="2"/>
  <c r="D67" i="7" s="1"/>
  <c r="M117" i="2" l="1"/>
  <c r="C135" i="2" l="1"/>
  <c r="C131" i="2"/>
  <c r="D69" i="7" s="1"/>
  <c r="C50" i="7" l="1"/>
  <c r="C52" i="7" s="1"/>
  <c r="C136" i="2"/>
  <c r="C132" i="2"/>
  <c r="D70" i="7" s="1"/>
  <c r="C141" i="2"/>
  <c r="E146" i="2" s="1"/>
  <c r="E160" i="2" l="1"/>
  <c r="O146" i="2"/>
  <c r="O157" i="2"/>
  <c r="C20" i="7"/>
  <c r="E17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tc={5FD732D3-3776-46EA-87F6-875ACF1A08CA}</author>
    <author>tc={BB4E4352-38CB-41D3-81A3-1EF11930F84A}</author>
  </authors>
  <commentList>
    <comment ref="B25" authorId="0" shapeId="0" xr:uid="{5FD732D3-3776-46EA-87F6-875ACF1A08CA}">
      <text>
        <t>[Threaded comment]
Your version of Excel allows you to read this threaded comment; however, any edits to it will get removed if the file is opened in a newer version of Excel. Learn more: https://go.microsoft.com/fwlink/?linkid=870924
Comment:
    50% Yield benefit of stumping (assumption realization rate of TNS model)  ; -10% Average Coffee Price Change</t>
      </text>
    </comment>
    <comment ref="B26" authorId="1" shapeId="0" xr:uid="{BB4E4352-38CB-41D3-81A3-1EF11930F84A}">
      <text>
        <t>[Threaded comment]
Your version of Excel allows you to read this threaded comment; however, any edits to it will get removed if the file is opened in a newer version of Excel. Learn more: https://go.microsoft.com/fwlink/?linkid=870924
Comment:
    100% Yield benefit of stumping (assumption realization rate of TNS model) ; +10% Average Coffee Price Change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tc={52E57845-DDC4-4AA1-A1FC-490F7B5FD7F3}</author>
    <author>tc={3F12887C-B7B5-43B4-BDDE-6B60BA580D61}</author>
    <author>tc={773247EE-DC16-4650-AC3E-2655A12E4D70}</author>
    <author>tc={4916FD8A-A512-4E97-97F4-F896AE75CC51}</author>
    <author>tc={734949D7-C4C5-45D6-8B14-617C25CE70BB}</author>
    <author>tc={C679050E-33B6-4444-A977-8B4C3CEE62CC}</author>
    <author>tc={E947B302-AD14-4A3E-A5A2-DE2EADC87099}</author>
    <author>tc={E9FDF798-F5FB-45B4-881B-F94F14785567}</author>
    <author>tc={A43A194B-A24D-41A3-BC2D-A9DA20F2958B}</author>
    <author>tc={5CCE1312-B902-48B0-B1A0-D5423882E54E}</author>
    <author>tc={7BAA60E4-F3C0-434C-B00B-2719307C20FA}</author>
    <author>tc={FA989498-E2E8-4A17-A488-18ACC7D11863}</author>
  </authors>
  <commentList>
    <comment ref="C21" authorId="0" shapeId="0" xr:uid="{52E57845-DDC4-4AA1-A1FC-490F7B5FD7F3}">
      <text>
        <t>[Threaded comment]
Your version of Excel allows you to read this threaded comment; however, any edits to it will get removed if the file is opened in a newer version of Excel. Learn more: https://go.microsoft.com/fwlink/?linkid=870924
Comment:
    TNS qualitative observtion and interviews during field visits</t>
      </text>
    </comment>
    <comment ref="G25" authorId="1" shapeId="0" xr:uid="{3F12887C-B7B5-43B4-BDDE-6B60BA580D61}">
      <text>
        <t>[Threaded comment]
Your version of Excel allows you to read this threaded comment; however, any edits to it will get removed if the file is opened in a newer version of Excel. Learn more: https://go.microsoft.com/fwlink/?linkid=870924
Comment:
    For rates after 2022, we take the 5-year average daily labor rate from 2018-2022.</t>
      </text>
    </comment>
    <comment ref="C26" authorId="2" shapeId="0" xr:uid="{773247EE-DC16-4650-AC3E-2655A12E4D70}">
      <text>
        <t>[Threaded comment]
Your version of Excel allows you to read this threaded comment; however, any edits to it will get removed if the file is opened in a newer version of Excel. Learn more: https://go.microsoft.com/fwlink/?linkid=870924
Comment:
    2020: C2019 Endline (p. 51)</t>
      </text>
    </comment>
    <comment ref="D26" authorId="3" shapeId="0" xr:uid="{4916FD8A-A512-4E97-97F4-F896AE75CC51}">
      <text>
        <t>[Threaded comment]
Your version of Excel allows you to read this threaded comment; however, any edits to it will get removed if the file is opened in a newer version of Excel. Learn more: https://go.microsoft.com/fwlink/?linkid=870924
Comment:
    2021: average 2020-2022</t>
      </text>
    </comment>
    <comment ref="E26" authorId="4" shapeId="0" xr:uid="{734949D7-C4C5-45D6-8B14-617C25CE70BB}">
      <text>
        <t>[Threaded comment]
Your version of Excel allows you to read this threaded comment; however, any edits to it will get removed if the file is opened in a newer version of Excel. Learn more: https://go.microsoft.com/fwlink/?linkid=870924
Comment:
    2022: C2020 Endline (p.34)</t>
      </text>
    </comment>
    <comment ref="F26" authorId="5" shapeId="0" xr:uid="{C679050E-33B6-4444-A977-8B4C3CEE62CC}">
      <text>
        <t xml:space="preserve">[Threaded comment]
Your version of Excel allows you to read this threaded comment; however, any edits to it will get removed if the file is opened in a newer version of Excel. Learn more: https://go.microsoft.com/fwlink/?linkid=870924
Comment:
    TNS JCP C22 Endline own calculation: mean daily wage rate for weeding
</t>
      </text>
    </comment>
    <comment ref="H37" authorId="6" shapeId="0" xr:uid="{E947B302-AD14-4A3E-A5A2-DE2EADC87099}">
      <text>
        <t>[Threaded comment]
Your version of Excel allows you to read this threaded comment; however, any edits to it will get removed if the file is opened in a newer version of Excel. Learn more: https://go.microsoft.com/fwlink/?linkid=870924
Comment:
    For prices after 2025 we take the 5-year average coffee price from 2021-2025.</t>
      </text>
    </comment>
    <comment ref="C38" authorId="7" shapeId="0" xr:uid="{E9FDF798-F5FB-45B4-881B-F94F14785567}">
      <text>
        <t xml:space="preserve">[Threaded comment]
Your version of Excel allows you to read this threaded comment; however, any edits to it will get removed if the file is opened in a newer version of Excel. Learn more: https://go.microsoft.com/fwlink/?linkid=870924
Comment:
     2021: C022 Baseline (p.47) </t>
      </text>
    </comment>
    <comment ref="D38" authorId="8" shapeId="0" xr:uid="{A43A194B-A24D-41A3-BC2D-A9DA20F2958B}">
      <text>
        <t>[Threaded comment]
Your version of Excel allows you to read this threaded comment; however, any edits to it will get removed if the file is opened in a newer version of Excel. Learn more: https://go.microsoft.com/fwlink/?linkid=870924
Comment:
     C2023 Baseline (p. ii)</t>
      </text>
    </comment>
    <comment ref="E38" authorId="9" shapeId="0" xr:uid="{5CCE1312-B902-48B0-B1A0-D5423882E54E}">
      <text>
        <t>[Threaded comment]
Your version of Excel allows you to read this threaded comment; however, any edits to it will get removed if the file is opened in a newer version of Excel. Learn more: https://go.microsoft.com/fwlink/?linkid=870924
Comment:
    2023: EL C2022</t>
      </text>
    </comment>
    <comment ref="F38" authorId="10" shapeId="0" xr:uid="{7BAA60E4-F3C0-434C-B00B-2719307C20FA}">
      <text>
        <t xml:space="preserve">[Threaded comment]
Your version of Excel allows you to read this threaded comment; however, any edits to it will get removed if the file is opened in a newer version of Excel. Learn more: https://go.microsoft.com/fwlink/?linkid=870924
Comment:
    Technoserve own data provided from Jimma region
</t>
      </text>
    </comment>
    <comment ref="G38" authorId="11" shapeId="0" xr:uid="{FA989498-E2E8-4A17-A488-18ACC7D11863}">
      <text>
        <t>[Threaded comment]
Your version of Excel allows you to read this threaded comment; however, any edits to it will get removed if the file is opened in a newer version of Excel. Learn more: https://go.microsoft.com/fwlink/?linkid=870924
Comment:
    Zonal Agriculture (Department of Market Linkage) and the Zonal Trade Office
Reply:
    To be updated with evaluation data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tc={C95775DF-E7C6-4D96-AFF3-E0D79DCACE8E}</author>
    <author>tc={091E9335-EEC7-4E61-8429-F70C588A699A}</author>
    <author>tc={139F4E7C-E06E-445B-B894-0054E7D50D3C}</author>
    <author>tc={3CA3B62E-159B-41F7-B725-A6F0E063457E}</author>
    <author>tc={3FFD43D1-4214-43D4-AE83-D6FDDB7637F4}</author>
    <author>tc={B2DC8CE6-344E-4700-B86E-34BBF3158FE2}</author>
    <author>tc={52E00D29-78F4-4698-A5AE-32B33A39839B}</author>
  </authors>
  <commentList>
    <comment ref="B11" authorId="0" shapeId="0" xr:uid="{C95775DF-E7C6-4D96-AFF3-E0D79DCACE8E}">
      <text>
        <t xml:space="preserve">[Threaded comment]
Your version of Excel allows you to read this threaded comment; however, any edits to it will get removed if the file is opened in a newer version of Excel. Learn more: https://go.microsoft.com/fwlink/?linkid=870924
Comment:
    The assumption realization rate indicates how much of the TNS model's projected value is reflected in observed field data. A rate of 100% means field outcomes fully match the original model assumptions; lower rates indicate a gap between projected and observed values.
We test yield assumptions as the evaluation data consistently shows lower yields than the TNS model projections, we apply a corresponding assumption realization rate to adjust the SROI calculation accordingly. This allows us to assess how sensitive the overall return estimate is to the accuracy of underlying agronomic assumptions.
</t>
      </text>
    </comment>
    <comment ref="C45" authorId="1" shapeId="0" xr:uid="{091E9335-EEC7-4E61-8429-F70C588A699A}">
      <text>
        <t>[Threaded comment]
Your version of Excel allows you to read this threaded comment; however, any edits to it will get removed if the file is opened in a newer version of Excel. Learn more: https://go.microsoft.com/fwlink/?linkid=870924
Comment:
    Following UCAT, we assume a linear decay in farmers' practice adoption by 7.3% of the initial improvement per year; Share of HH adopting additional 2 BP = 34% 
Endline C22, p. 38</t>
      </text>
    </comment>
    <comment ref="C55" authorId="2" shapeId="0" xr:uid="{139F4E7C-E06E-445B-B894-0054E7D50D3C}">
      <text>
        <t>[Threaded comment]
Your version of Excel allows you to read this threaded comment; however, any edits to it will get removed if the file is opened in a newer version of Excel. Learn more: https://go.microsoft.com/fwlink/?linkid=870924
Comment:
    Following UCAT, we assume a linear decay in farmers' practice adoption by 7.3% of the initial improvement per year; Share of HH adopting additional 2 BP = 34% 
Endline C22, p. 38</t>
      </text>
    </comment>
    <comment ref="B74" authorId="3" shapeId="0" xr:uid="{3CA3B62E-159B-41F7-B725-A6F0E063457E}">
      <text>
        <t>[Threaded comment]
Your version of Excel allows you to read this threaded comment; however, any edits to it will get removed if the file is opened in a newer version of Excel. Learn more: https://go.microsoft.com/fwlink/?linkid=870924
Comment:
    CURRENTLY CONSIDERING SAME IMPACT AS C22 for GAP adoption, honey income and CWS impact</t>
      </text>
    </comment>
    <comment ref="E85" authorId="4" shapeId="0" xr:uid="{3FFD43D1-4214-43D4-AE83-D6FDDB7637F4}">
      <text>
        <t>[Threaded comment]
Your version of Excel allows you to read this threaded comment; however, any edits to it will get removed if the file is opened in a newer version of Excel. Learn more: https://go.microsoft.com/fwlink/?linkid=870924
Comment:
    From Technoserve Stumping Verification Report</t>
      </text>
    </comment>
    <comment ref="C137" authorId="5" shapeId="0" xr:uid="{B2DC8CE6-344E-4700-B86E-34BBF3158FE2}">
      <text>
        <t>[Threaded comment]
Your version of Excel allows you to read this threaded comment; however, any edits to it will get removed if the file is opened in a newer version of Excel. Learn more: https://go.microsoft.com/fwlink/?linkid=870924
Comment:
    If median annual household income is used the relative increase in household income is ~ 15%; Consumption is used as the primary benchmark as it better reflects living standards and is less sensitive to income underreporting. Income-based ratios are shown for completeness.</t>
      </text>
    </comment>
    <comment ref="E166" authorId="6" shapeId="0" xr:uid="{52E00D29-78F4-4698-A5AE-32B33A39839B}">
      <text>
        <t>[Threaded comment]
Your version of Excel allows you to read this threaded comment; however, any edits to it will get removed if the file is opened in a newer version of Excel. Learn more: https://go.microsoft.com/fwlink/?linkid=870924
Comment:
    The TNS03 Budget includes 15% indirect costs</t>
      </text>
    </comment>
  </commentList>
</comments>
</file>

<file path=xl/sharedStrings.xml><?xml version="1.0" encoding="utf-8"?>
<sst xmlns="http://schemas.openxmlformats.org/spreadsheetml/2006/main" count="361" uniqueCount="245">
  <si>
    <t>HWG Impact Model:</t>
  </si>
  <si>
    <t>Jimma Coffee Program</t>
  </si>
  <si>
    <t>Overview</t>
  </si>
  <si>
    <t>Project name</t>
  </si>
  <si>
    <t>Implementing partner</t>
  </si>
  <si>
    <t>TechnoServe</t>
  </si>
  <si>
    <t>Evaluation partner</t>
  </si>
  <si>
    <t>IFPRI</t>
  </si>
  <si>
    <t>C4ED</t>
  </si>
  <si>
    <t>Project country</t>
  </si>
  <si>
    <t>Ethiopia</t>
  </si>
  <si>
    <t>Project region</t>
  </si>
  <si>
    <t>Jimma Zone (Gumay, Goma, Gera Woredas)</t>
  </si>
  <si>
    <t>Project duration</t>
  </si>
  <si>
    <t>09/2021 - 04/2025</t>
  </si>
  <si>
    <t>Objective</t>
  </si>
  <si>
    <t>To improve coffee productivity and resilience by promoting regenerative agricultural practices and quality improvements for coffee plus honey as alternative income-generating activity</t>
  </si>
  <si>
    <t>Budget (2025 nominal EUR)</t>
  </si>
  <si>
    <t>Outreach</t>
  </si>
  <si>
    <t>15.489 trained (50% of training topics + 3 key topics)</t>
  </si>
  <si>
    <t>Date of Analysis / Version</t>
  </si>
  <si>
    <t>v3</t>
  </si>
  <si>
    <t>Author</t>
  </si>
  <si>
    <t>Marlene Gutiérrez</t>
  </si>
  <si>
    <t>SROI</t>
  </si>
  <si>
    <r>
      <t xml:space="preserve">Total SROI
</t>
    </r>
    <r>
      <rPr>
        <sz val="10"/>
        <color theme="1"/>
        <rFont val="Pero ExtraBold"/>
        <family val="2"/>
      </rPr>
      <t>(10 year time frame)</t>
    </r>
  </si>
  <si>
    <t>Type</t>
  </si>
  <si>
    <t>Semi-Forecast</t>
  </si>
  <si>
    <t>Level of certainty*</t>
  </si>
  <si>
    <t>Low</t>
  </si>
  <si>
    <t>SROI thresholds</t>
  </si>
  <si>
    <r>
      <t>Sensitivity Analysis</t>
    </r>
    <r>
      <rPr>
        <sz val="10"/>
        <color theme="1"/>
        <rFont val="Pero ExtraBold"/>
        <family val="2"/>
      </rPr>
      <t xml:space="preserve"> 
</t>
    </r>
    <r>
      <rPr>
        <sz val="10"/>
        <color theme="1"/>
        <rFont val="Pero"/>
        <family val="2"/>
      </rPr>
      <t>(parameters to determine lower- and upper-bound SROI estimates)</t>
    </r>
  </si>
  <si>
    <t xml:space="preserve">Average coffee price change + Yield benefit of stumping  (assumption realization rate of TNS model) </t>
  </si>
  <si>
    <t>Lowe-bound SROI</t>
  </si>
  <si>
    <t>Upper-bound SROI</t>
  </si>
  <si>
    <t>Evaluation</t>
  </si>
  <si>
    <t>Evaluation methodology</t>
  </si>
  <si>
    <t>Quasi-experimental study design; difference-in-difference combined with propensity score matching (C22 limitation, as households in intervention areas differ significantly from control households)</t>
  </si>
  <si>
    <t>Primary outcome</t>
  </si>
  <si>
    <t>Adoption status of trained agricultural practices</t>
  </si>
  <si>
    <t>Income measurement</t>
  </si>
  <si>
    <t>Modeled based on adoption data</t>
  </si>
  <si>
    <t>Sample size per cohort</t>
  </si>
  <si>
    <t>C22: Treatment: 644; Control: 310</t>
  </si>
  <si>
    <t>C23: Treatment: 1054; Control: 1106</t>
  </si>
  <si>
    <t>Study population</t>
  </si>
  <si>
    <t>Coffee-cultivating households that reside in project Kebeles</t>
  </si>
  <si>
    <t>Methodological rigor*</t>
  </si>
  <si>
    <t>Good</t>
  </si>
  <si>
    <t xml:space="preserve">Findings on other outcomes </t>
  </si>
  <si>
    <t>Best practice adoption (Coffee)</t>
  </si>
  <si>
    <t>Endline C22: Average household adopted 2.2 out of 7 best practices by endline (C22) with 34% of interviewed households adopting additional 2 best practices at endline. Only 25% of targeted 50% adopted compost/ manure. The adoption of weedings declined 47% to 37%. The decline in weeding adoption is partly the result of observation of higher weed incidence. One possible explanation for the higher weed incidence, could be the timing of the surveys. The baseline was conducted in January 2022, during the dry season in most parts of Ethiopia, whereas the endline survey took place in the rainy season.  70% of interviewed farmers reported weeding min twice per year up from 56% at baseline.</t>
  </si>
  <si>
    <t>Coffee Washing Stations (CWS)</t>
  </si>
  <si>
    <t xml:space="preserve">C22 &amp; C23 TNS audits: 2024 audits were conducted for all 12 operational CWS (C22 &amp; C23). Four of the 16 CWS did not open during the 2024/25 season due to a shortage of working capital and/or equipment failure (e.g., damaged pulping machines). All audited CWS passed a mimimum of 80% of sustainability standards. All 12 CWS met the requirement of scoring at least 86% on CPQI. The average score for both cohorts was 91%.. The proportion of Q1/Q2 grade coffee was at 97%. </t>
  </si>
  <si>
    <t xml:space="preserve">Beekeeping </t>
  </si>
  <si>
    <t>Endline C22: The number of households with occupied, active hives increase from 21% to 29% in past 12 months. The income increase in honey is mainly driven by increasing prices which changed from avrg 136 ETB to 286 ETB for crude honey. Average production decreased from 16,9 kg to 13 kg (as additional 700 farmer likely poroduce less than more experienced farmers); Although more farmers produced honey, the share of farmers reporting income through sales declined by 2% (from 9% to 7%) while the average income doubled from 3068 ETB  to 6024 ETB. During the year beekeeping farmers phased issues with unfavoring climatic conditions highly influencing productivity.</t>
  </si>
  <si>
    <t>Present Value vs Costs</t>
  </si>
  <si>
    <t>C22</t>
  </si>
  <si>
    <t>C23</t>
  </si>
  <si>
    <t>GAPs besides Stumping</t>
  </si>
  <si>
    <t>PV per HH C22</t>
  </si>
  <si>
    <t>Stumping</t>
  </si>
  <si>
    <t>PV per HH C23 (forecast)</t>
  </si>
  <si>
    <t>Honey</t>
  </si>
  <si>
    <t>PV per HH combined</t>
  </si>
  <si>
    <t>Coffee Washing Stations</t>
  </si>
  <si>
    <t>Costs per HH</t>
  </si>
  <si>
    <t>NPV per HH</t>
  </si>
  <si>
    <t>C2022</t>
  </si>
  <si>
    <t>Present Value (in 2021 EUR)</t>
  </si>
  <si>
    <t>C2023</t>
  </si>
  <si>
    <t>Combined</t>
  </si>
  <si>
    <t>Project Costs discounted (in 2021 EUR)</t>
  </si>
  <si>
    <t>Net Present Value (in 2021 EUR)</t>
  </si>
  <si>
    <t>* Definitions see tab "Info"</t>
  </si>
  <si>
    <t>1) Jimma Coffee Program Theory of Change</t>
  </si>
  <si>
    <t>2) HereWeGrow Impact Map</t>
  </si>
  <si>
    <t>1) Details of the Analysis</t>
  </si>
  <si>
    <t>Impact Measure*</t>
  </si>
  <si>
    <t>Additional net income (profit) generated</t>
  </si>
  <si>
    <t>Cell shading indicates data confidence</t>
  </si>
  <si>
    <t>Base year C2022</t>
  </si>
  <si>
    <t>Substantiated — supported by credible empirical source</t>
  </si>
  <si>
    <t>Base year C2023</t>
  </si>
  <si>
    <t>Uncertain — based on limited data, proxy, or forecast assumption</t>
  </si>
  <si>
    <t>Year of Analysis</t>
  </si>
  <si>
    <t>Year of Analysis Currency</t>
  </si>
  <si>
    <t>2021 EUR</t>
  </si>
  <si>
    <t>2) Assumptions Used in the Analysis</t>
  </si>
  <si>
    <t>Assumption</t>
  </si>
  <si>
    <t>Value</t>
  </si>
  <si>
    <t>Discount rate*</t>
  </si>
  <si>
    <t>Source</t>
  </si>
  <si>
    <t>Linear decay in farmers' practice adoption*</t>
  </si>
  <si>
    <t>IPE Triple Line, 2017</t>
  </si>
  <si>
    <t>Production costs</t>
  </si>
  <si>
    <t>kg coffee cherries harvested per day</t>
  </si>
  <si>
    <t>Expert model (available on request)</t>
  </si>
  <si>
    <t>Person Days for stumping 1 tree</t>
  </si>
  <si>
    <t xml:space="preserve"> </t>
  </si>
  <si>
    <t>Weeks/Year</t>
  </si>
  <si>
    <t>Labor rates</t>
  </si>
  <si>
    <t>Year</t>
  </si>
  <si>
    <t>Daily rate per laborer (in nominal ETB)</t>
  </si>
  <si>
    <t>Daily rate per laborer (in real 2021 ETB)</t>
  </si>
  <si>
    <t>Yield benefit of  stumping*</t>
  </si>
  <si>
    <t>Year 1 (Stumping)</t>
  </si>
  <si>
    <t xml:space="preserve">Year 2 </t>
  </si>
  <si>
    <t>Year 3</t>
  </si>
  <si>
    <t>Year 4</t>
  </si>
  <si>
    <t>Year 5</t>
  </si>
  <si>
    <t>Year 6</t>
  </si>
  <si>
    <t>Year 7</t>
  </si>
  <si>
    <t>Year 8</t>
  </si>
  <si>
    <t>Year 9</t>
  </si>
  <si>
    <t>Stumped yield (kg fresh cherry/tree)</t>
  </si>
  <si>
    <t>TNS yield model (available upon request)</t>
  </si>
  <si>
    <t>Unstumped yield (kg fresh cherry/tree)</t>
  </si>
  <si>
    <t>Difference</t>
  </si>
  <si>
    <t>% difference</t>
  </si>
  <si>
    <t>Coffee Prices</t>
  </si>
  <si>
    <t>Coffee Price (kg fresh cherry) (in nominal ETB)</t>
  </si>
  <si>
    <t>Coffee Price (kg fresh cherry) (in real 2022 ETB)</t>
  </si>
  <si>
    <t>Coffee Price (kg fresh cherry) (in real 2021 ETB)</t>
  </si>
  <si>
    <t>3) External parameters used in the analysis</t>
  </si>
  <si>
    <t>Inflation*</t>
  </si>
  <si>
    <t>Sources</t>
  </si>
  <si>
    <t>Ethiopia (GDP deflator; base year=2015/2016)</t>
  </si>
  <si>
    <t xml:space="preserve">IMF GDP deflator </t>
  </si>
  <si>
    <t>Germany (GDP deflator; base year=2015/2016)</t>
  </si>
  <si>
    <t>Exchange rates</t>
  </si>
  <si>
    <t>ETB:EUR</t>
  </si>
  <si>
    <t>Standard</t>
  </si>
  <si>
    <t>Exchange-rate.org (2021 Average)</t>
  </si>
  <si>
    <t>*Detailed definitions and background information are given under the tab "Info".</t>
  </si>
  <si>
    <t>1) Critical model assumptions and household/farm characteristics</t>
  </si>
  <si>
    <t>Non-implementation costs share*</t>
  </si>
  <si>
    <t>Coffee Price Change</t>
  </si>
  <si>
    <t>Yield benefit of BP adoption besides stumping*</t>
  </si>
  <si>
    <t xml:space="preserve">Unstumped yield (assumption realization rate of TNS model) </t>
  </si>
  <si>
    <t xml:space="preserve">Yield benefit of stumping*  (assumption realization rate of TNS model) </t>
  </si>
  <si>
    <t>C22 Cohort</t>
  </si>
  <si>
    <t>Link</t>
  </si>
  <si>
    <t>Average Coffee Farm Size (ha)</t>
  </si>
  <si>
    <t xml:space="preserve"> Baseline C2022, p.38</t>
  </si>
  <si>
    <t>JCP Baseline Report C22</t>
  </si>
  <si>
    <t>Average coffee cherry production per Hectare (kg)</t>
  </si>
  <si>
    <t>Baseline value, Endline report, p.52</t>
  </si>
  <si>
    <t>JCP Endline Report C22</t>
  </si>
  <si>
    <t xml:space="preserve">  </t>
  </si>
  <si>
    <t>Median number of productive coffee trees per ha</t>
  </si>
  <si>
    <t>HWG own calculation from JCP C2022 Endline Dataset JCP_EL_BL_panel_plot.dta(excludig control Kebeles)</t>
  </si>
  <si>
    <t>C23 Cohort</t>
  </si>
  <si>
    <t>Assumptions</t>
  </si>
  <si>
    <t>Value Gomma</t>
  </si>
  <si>
    <t>Value Gera</t>
  </si>
  <si>
    <t xml:space="preserve"> Baseline C23, p.21</t>
  </si>
  <si>
    <t>JCP Baseline Report C23</t>
  </si>
  <si>
    <t>Baseline C23, p.37</t>
  </si>
  <si>
    <t>HWG own calculation from JCP C2023 Baseline Dataset 10b_plot_characteristics (excludig control Kebeles)</t>
  </si>
  <si>
    <t>DG IICoF Annual HH Consumption Jimma Data</t>
  </si>
  <si>
    <t>Notes</t>
  </si>
  <si>
    <t>Median annual HH consumption in nominal 2023 ETB</t>
  </si>
  <si>
    <t>Baseline p.55</t>
  </si>
  <si>
    <t>Digital Green IICoF Baseline Report</t>
  </si>
  <si>
    <t>74,26*365*5 (Calculated from DG Baseline Dataset Jimma_Coff_consumption_aggregate.dta); Baseline consumption estimate sourced from Digital Green project (2023), collected across 4 Woredas in Jimma Zone and deflated to real 2021 values. Applied as a regional proxy for this project's 3 Woredas in Jimma Zone given comparable agroecological context and livelihood systems. In the absence of project-specific consumption data, this represents the best available estimate for HH baseline income in this area available to HWG.)</t>
  </si>
  <si>
    <t>Median annual HH consumption in real 2021 ETB</t>
  </si>
  <si>
    <t>2) Number of HHs reached</t>
  </si>
  <si>
    <t>Total</t>
  </si>
  <si>
    <t>Planned</t>
  </si>
  <si>
    <t>Registered</t>
  </si>
  <si>
    <t>Trained (50% + 3 Key Practices)</t>
  </si>
  <si>
    <t>*We use registered HHs as evaluation results reflect outcome on ITT</t>
  </si>
  <si>
    <t>3) Incremental Cash-flows HH level</t>
  </si>
  <si>
    <t>C2022 (Endline)</t>
  </si>
  <si>
    <t xml:space="preserve">C22 Stumping </t>
  </si>
  <si>
    <t>BPs besides Stumping</t>
  </si>
  <si>
    <t>Share of HH adopting + 2 BP</t>
  </si>
  <si>
    <t>Year 1</t>
  </si>
  <si>
    <t>Yield benefit (kg cherry)</t>
  </si>
  <si>
    <t>Year 2</t>
  </si>
  <si>
    <t xml:space="preserve">Harvest Labor Days additional </t>
  </si>
  <si>
    <t>Harvest Cost additional  (in real 2021 ETB)</t>
  </si>
  <si>
    <t>Additional revenue per HH  (in real 2021 ETB)</t>
  </si>
  <si>
    <t>Additional profit per HH (in real 2021 ETB)</t>
  </si>
  <si>
    <t>Additional profit per HH, discounted (in real 2021 ETB)</t>
  </si>
  <si>
    <t>Additional profit, discounted (in real 2021 EUR)</t>
  </si>
  <si>
    <t>Share of HH that stumped</t>
  </si>
  <si>
    <t>Number of Trees stumped (if stumped)</t>
  </si>
  <si>
    <t>Yield difference</t>
  </si>
  <si>
    <t>Number of trees stumped per HH</t>
  </si>
  <si>
    <t xml:space="preserve">Labor Days additional </t>
  </si>
  <si>
    <t>Labor Costs additional  (in real 2021 ETB)</t>
  </si>
  <si>
    <t>Additional profit per HH, dicounted (in real 2021 ETB)</t>
  </si>
  <si>
    <t>Additional honey income in nominal ETB</t>
  </si>
  <si>
    <t>-</t>
  </si>
  <si>
    <t>Additional income per HH (in real 2021 ETB)</t>
  </si>
  <si>
    <t>Additional income per HH, discounted (in real 2021 ETB)</t>
  </si>
  <si>
    <t>CWS</t>
  </si>
  <si>
    <t>Share of HH selling to cooperative</t>
  </si>
  <si>
    <t>Average price increase through CWS work</t>
  </si>
  <si>
    <t>Additional income per HH, discounted (in real 2021 EUR)</t>
  </si>
  <si>
    <t>C2023 (Assumptions)</t>
  </si>
  <si>
    <t xml:space="preserve">C23 Stumping </t>
  </si>
  <si>
    <t xml:space="preserve">Harvest Labor additional </t>
  </si>
  <si>
    <t>Harvest Cost additional  (in real 2022 ETB)</t>
  </si>
  <si>
    <t>Additional revenue per HH  (in real 2022 ETB)</t>
  </si>
  <si>
    <t>Additional profit per HH (in real 2022 ETB)</t>
  </si>
  <si>
    <t>Additional profit per HH, discounted (in real 2022 ETB)</t>
  </si>
  <si>
    <t>Share of HH that stumped (C22 RESULTS)</t>
  </si>
  <si>
    <t>Number of Trees stumped (if stumped) (C22 RESULTS)</t>
  </si>
  <si>
    <t>Labor Costs additional  (in real 2022 ETB)</t>
  </si>
  <si>
    <t>Additional honey income in ETB (nominal)</t>
  </si>
  <si>
    <t>Additional income per HH (in real 2022 ETB)</t>
  </si>
  <si>
    <t>Additional income per HH, discounted (in real 2022 ETB)</t>
  </si>
  <si>
    <t>Additional Income per HH, discounted (in real 2021 ETB)</t>
  </si>
  <si>
    <t>5) Incremental cash-flow total project discounted</t>
  </si>
  <si>
    <t>Incremental Cash-flow EUR, discounted (in real 2021 EUR)</t>
  </si>
  <si>
    <t xml:space="preserve">6) Project Costs </t>
  </si>
  <si>
    <t>Project Costs (in nominal EUR)</t>
  </si>
  <si>
    <t>Project Costs (in real 2021 EUR)</t>
  </si>
  <si>
    <t>Project Cost discounted (in 2021 EUR)</t>
  </si>
  <si>
    <t>Project costs discounted (in 2021 EUR)</t>
  </si>
  <si>
    <t xml:space="preserve">Project costs per HH discounted (in 2021 EUR) </t>
  </si>
  <si>
    <t>7) Present Value (in 2021 EUR)</t>
  </si>
  <si>
    <t>Present Value</t>
  </si>
  <si>
    <t xml:space="preserve">Total Project Net Present Value </t>
  </si>
  <si>
    <t>C22 Present Value per HH</t>
  </si>
  <si>
    <t xml:space="preserve">C23 Present Value per HH </t>
  </si>
  <si>
    <t xml:space="preserve">Present Value per HH </t>
  </si>
  <si>
    <t>Net Present Value per HH</t>
  </si>
  <si>
    <t>Relative Increase in HH income (C23)</t>
  </si>
  <si>
    <t>8) Project SROI</t>
  </si>
  <si>
    <t>Social Return on Investment (SROI)</t>
  </si>
  <si>
    <t>SROI = Total Benefits/ Project Costs</t>
  </si>
  <si>
    <t>9) Sensitivity Analysis</t>
  </si>
  <si>
    <r>
      <t xml:space="preserve">
The sensitivity analysis examines how varying key assumptions on discount rates, implementation costs, adoption rates, coffee prices, and yield estimates affect the SROI. The base case yields an SROI o</t>
    </r>
    <r>
      <rPr>
        <sz val="10"/>
        <color theme="1"/>
        <rFont val="Pero"/>
        <family val="2"/>
      </rPr>
      <t xml:space="preserve">f 6.2, </t>
    </r>
    <r>
      <rPr>
        <sz val="11"/>
        <color theme="1"/>
        <rFont val="Pero"/>
        <family val="2"/>
      </rPr>
      <t xml:space="preserve">calculated at a 10% discount rate, with a 15% non-implementation cost share, average coffee price of past 5 years projection, 100% realisation of TNS yield benefit estimates, and an expected unstumped yield of 100% of TNS estimates.
</t>
    </r>
    <r>
      <rPr>
        <b/>
        <sz val="11"/>
        <color theme="1"/>
        <rFont val="Pero"/>
        <family val="2"/>
      </rPr>
      <t xml:space="preserve">Discount rate and HH reached: </t>
    </r>
    <r>
      <rPr>
        <sz val="11"/>
        <color theme="1"/>
        <rFont val="Pero"/>
        <family val="2"/>
      </rPr>
      <t xml:space="preserve">The discount rate has a consistent influence on the SROI which ranges from  6,9  at a 0% discount rate to 3,0 at a 20% discount rate. In comparison the number of HH reached affects the SROI only moderately. If we would only consider the HH counted as trained (50% of training plus stumping, weeding and composting training partictipation), roughly 9k less compared to overall 24.803 HH registered, the SROI would drop to ca. 4,,8.
</t>
    </r>
    <r>
      <rPr>
        <b/>
        <sz val="11"/>
        <color theme="1"/>
        <rFont val="Pero"/>
        <family val="2"/>
      </rPr>
      <t xml:space="preserve">Non-implementation cost share: </t>
    </r>
    <r>
      <rPr>
        <sz val="11"/>
        <color theme="1"/>
        <rFont val="Pero"/>
        <family val="2"/>
      </rPr>
      <t xml:space="preserve">Across the full range of cost share assumptions (0%–20%), the SROI at the base case 10% discount rate moves between 5,5 (0% cost share) and 6,4 (20% cost share), indicating that the cost allocation assumption has a relatively limited effect compared to other drivers.
</t>
    </r>
    <r>
      <rPr>
        <b/>
        <sz val="11"/>
        <color theme="1"/>
        <rFont val="Pero"/>
        <family val="2"/>
      </rPr>
      <t xml:space="preserve">Adoption of stumping (+2 BP) and coffee yield impact: </t>
    </r>
    <r>
      <rPr>
        <sz val="11"/>
        <color theme="1"/>
        <rFont val="Pero"/>
        <family val="2"/>
      </rPr>
      <t xml:space="preserve">The maximum share of HHs adopting +2 Best Practices is a signifciation driver of the SROI when combined with strong yield gains. At 0% adoption, the SROI is 5,6 regardless of the estimated yield impact. As adoption increases, the sensitivity to the yield impact assumption grows: at 60% adoption and a 30% yield gain, the SROI could reach up tp 9,3. This scenario is, however, highly unlikely.
</t>
    </r>
    <r>
      <rPr>
        <b/>
        <sz val="11"/>
        <color theme="1"/>
        <rFont val="Pero"/>
        <family val="2"/>
      </rPr>
      <t xml:space="preserve">Coffee price development: </t>
    </r>
    <r>
      <rPr>
        <sz val="11"/>
        <color theme="1"/>
        <rFont val="Pero"/>
        <family val="2"/>
      </rPr>
      <t xml:space="preserve">Average coffee price changes have a direct and substantial influence on the SROI. At the base case of 100% realisation of TNS yield benefit estimates, the SROI ranges from 4,6 at a −30% price change to 8,0 at a +30% price change. At lower benefit realisation levels (e.g. 40%), even a +30% price increase only yields an SROI of 2,8. The project remains above breakeven across all tested price scenarios at high realisation rates, but falls to an SROI of 1,4 at the lowest realisation and most adverse price assumption tested.
</t>
    </r>
    <r>
      <rPr>
        <b/>
        <sz val="11"/>
        <color theme="1"/>
        <rFont val="Pero"/>
        <family val="2"/>
      </rPr>
      <t xml:space="preserve">Prospective yields of unstumped and stumped trees: </t>
    </r>
    <r>
      <rPr>
        <sz val="11"/>
        <color theme="1"/>
        <rFont val="Pero"/>
        <family val="2"/>
      </rPr>
      <t>The yield assumptions for both unstumped and stumped trees are the most critical drivers of the SROI. The two bottom tables illustrate this joint sensitivity: the SROI of 6,3 in the base case (100% realisation, 100% of TNS unstumped yield estimate) drops to 1,7 when only 40% of the TNS yield benefit is realised against a 40% unstumped yield baseline. The prospective yield of unstumped trees amplifies the sensitivity: a lower unstumped baseline substantially reduces the relative gain from stumping, decreasing the SROI, while a higher unstumped baseline increases it. These two yield parameters should therefore be subject to careful field validation.
Overall the sensitivity analysis shows that the program is robust: even in conservative assumptions, SROI stays above 1</t>
    </r>
  </si>
  <si>
    <t>Discount rate</t>
  </si>
  <si>
    <t>Average coffee price change</t>
  </si>
  <si>
    <t># of HH reached (C23)</t>
  </si>
  <si>
    <t xml:space="preserve">Yield benefit of stumping  (assumption realization rate of TNS model) </t>
  </si>
  <si>
    <t>Non-implementation cost share</t>
  </si>
  <si>
    <t>Estimated  Coffee yield impact of + 2 BP adoption</t>
  </si>
  <si>
    <t>Maximum share of housheolds adopting +2 BP</t>
  </si>
  <si>
    <t>Fields marked in light red show when the component has no affect on SROI anymore.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</si>
</sst>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0.00\ &quot;€&quot;;[Red]\-#,##0.00\ &quot;€&quot;"/>
    <numFmt numFmtId="43" formatCode="_-* #,##0.00_-;\-* #,##0.00_-;_-* &quot;-&quot;??_-;_-@_-"/>
    <numFmt numFmtId="164" formatCode="_-* #,##0_-;\-* #,##0_-;_-* &quot;-&quot;??_-;_-@_-"/>
    <numFmt numFmtId="165" formatCode="_-* #,##0.00\ [$€-407]_-;\-* #,##0.00\ [$€-407]_-;_-* &quot;-&quot;??\ [$€-407]_-;_-@_-"/>
    <numFmt numFmtId="166" formatCode="#,##0\ &quot;€&quot;"/>
    <numFmt numFmtId="167" formatCode="0.0"/>
    <numFmt numFmtId="168" formatCode="#,##0.0"/>
    <numFmt numFmtId="169" formatCode="0.0%"/>
    <numFmt numFmtId="170" formatCode="_-* #,##0\ [$€-407]_-;\-* #,##0\ [$€-407]_-;_-* &quot;-&quot;\ [$€-407]_-;_-@_-"/>
    <numFmt numFmtId="171" formatCode="#,##0\ [$€-407];\-#,##0\ [$€-407]"/>
    <numFmt numFmtId="172" formatCode="_-* #,##0.0\ [$€-407]_-;\-* #,##0.0\ [$€-407]_-;_-* &quot;-&quot;?\ [$€-407]_-;_-@_-"/>
    <numFmt numFmtId="173" formatCode="0.000"/>
    <numFmt numFmtId="174" formatCode="#,##0.00\ &quot;€&quot;"/>
    <numFmt numFmtId="175" formatCode="#,##0_ ;\-#,##0\ "/>
    <numFmt numFmtId="176" formatCode="#,##0.0_ ;\-#,##0.0\ "/>
    <numFmt numFmtId="177" formatCode="#,##0\ [$ETB];\-#,##0\ [$ETB]"/>
    <numFmt numFmtId="178" formatCode="#,##0\ _€"/>
  </numFmts>
  <fonts count="48">
    <font>
      <sz val="11"/>
      <color theme="1"/>
      <name val="Calibri"/>
      <family val="2"/>
      <scheme val="minor"/>
    </font>
    <font>
      <sz val="11"/>
      <color theme="1"/>
      <name val="Pero"/>
      <family val="2"/>
    </font>
    <font>
      <sz val="11"/>
      <color theme="1"/>
      <name val="Calibri"/>
      <family val="2"/>
      <scheme val="minor"/>
    </font>
    <font>
      <sz val="11"/>
      <color theme="1"/>
      <name val="Pero"/>
      <family val="2"/>
    </font>
    <font>
      <sz val="11"/>
      <color rgb="FFFF0000"/>
      <name val="Pero"/>
      <family val="2"/>
    </font>
    <font>
      <u/>
      <sz val="11"/>
      <color theme="10"/>
      <name val="Calibri"/>
      <family val="2"/>
      <scheme val="minor"/>
    </font>
    <font>
      <sz val="16"/>
      <color theme="1"/>
      <name val="Pero ExtraBold"/>
      <family val="2"/>
    </font>
    <font>
      <sz val="11"/>
      <name val="Pero"/>
      <family val="2"/>
    </font>
    <font>
      <b/>
      <sz val="11"/>
      <color theme="1"/>
      <name val="Pero"/>
      <family val="2"/>
    </font>
    <font>
      <b/>
      <sz val="14"/>
      <color theme="1"/>
      <name val="Calibri"/>
      <family val="2"/>
      <scheme val="minor"/>
    </font>
    <font>
      <sz val="11"/>
      <color theme="1"/>
      <name val="Pero ExtraBold"/>
      <family val="2"/>
    </font>
    <font>
      <b/>
      <sz val="12"/>
      <color theme="1"/>
      <name val="Pero ExtraBold"/>
      <family val="2"/>
    </font>
    <font>
      <b/>
      <sz val="16"/>
      <color theme="1"/>
      <name val="Pero ExtraBold"/>
      <family val="2"/>
    </font>
    <font>
      <sz val="14"/>
      <color theme="1"/>
      <name val="Pero ExtraBold"/>
      <family val="2"/>
    </font>
    <font>
      <sz val="20"/>
      <color theme="1"/>
      <name val="Pero ExtraBold"/>
      <family val="2"/>
    </font>
    <font>
      <u/>
      <sz val="11"/>
      <color theme="10"/>
      <name val="Pero"/>
      <family val="2"/>
    </font>
    <font>
      <i/>
      <sz val="11"/>
      <color theme="1"/>
      <name val="Calibri"/>
      <family val="2"/>
      <scheme val="minor"/>
    </font>
    <font>
      <sz val="11"/>
      <color rgb="FF3F3F76"/>
      <name val="Calibri"/>
      <family val="2"/>
      <scheme val="minor"/>
    </font>
    <font>
      <sz val="11"/>
      <color indexed="8"/>
      <name val="Calibri"/>
      <family val="2"/>
    </font>
    <font>
      <b/>
      <sz val="14"/>
      <color indexed="8"/>
      <name val="Pero"/>
      <family val="2"/>
    </font>
    <font>
      <sz val="10"/>
      <color indexed="8"/>
      <name val="Pero"/>
      <family val="2"/>
    </font>
    <font>
      <sz val="11"/>
      <color indexed="8"/>
      <name val="Pero"/>
      <family val="2"/>
    </font>
    <font>
      <sz val="11"/>
      <color rgb="FF3F3F76"/>
      <name val="Pero"/>
      <family val="2"/>
    </font>
    <font>
      <b/>
      <sz val="14"/>
      <color indexed="8"/>
      <name val="Calibri"/>
      <family val="2"/>
      <scheme val="minor"/>
    </font>
    <font>
      <b/>
      <sz val="11"/>
      <color theme="1"/>
      <name val="Pero ExtraBold"/>
      <family val="2"/>
    </font>
    <font>
      <b/>
      <sz val="11"/>
      <color theme="1"/>
      <name val="Calibri"/>
      <family val="2"/>
      <scheme val="minor"/>
    </font>
    <font>
      <b/>
      <sz val="16"/>
      <color indexed="8"/>
      <name val="Pero"/>
      <family val="2"/>
    </font>
    <font>
      <b/>
      <sz val="11"/>
      <color indexed="8"/>
      <name val="Pero"/>
      <family val="2"/>
    </font>
    <font>
      <b/>
      <sz val="14"/>
      <color theme="1"/>
      <name val="Pero"/>
      <family val="2"/>
    </font>
    <font>
      <b/>
      <sz val="14"/>
      <color theme="0"/>
      <name val="Pero"/>
      <family val="2"/>
    </font>
    <font>
      <sz val="8"/>
      <color theme="1"/>
      <name val="Pero"/>
      <family val="2"/>
    </font>
    <font>
      <sz val="11"/>
      <color rgb="FF000000"/>
      <name val="Pero"/>
      <family val="2"/>
    </font>
    <font>
      <sz val="10"/>
      <color theme="0"/>
      <name val="Pero"/>
      <family val="2"/>
    </font>
    <font>
      <sz val="11"/>
      <color theme="0"/>
      <name val="Calibri"/>
      <family val="2"/>
      <scheme val="minor"/>
    </font>
    <font>
      <sz val="11"/>
      <color theme="0"/>
      <name val="Pero"/>
      <family val="2"/>
    </font>
    <font>
      <sz val="12"/>
      <color theme="1"/>
      <name val="Pero ExtraBold"/>
      <family val="2"/>
    </font>
    <font>
      <sz val="9"/>
      <color theme="1"/>
      <name val="Segoe UI"/>
      <family val="2"/>
    </font>
    <font>
      <i/>
      <sz val="11"/>
      <color theme="1"/>
      <name val="Pero"/>
      <family val="2"/>
    </font>
    <font>
      <b/>
      <sz val="11"/>
      <name val="Pero"/>
      <family val="2"/>
    </font>
    <font>
      <sz val="10"/>
      <color theme="1"/>
      <name val="Pero"/>
      <family val="2"/>
    </font>
    <font>
      <sz val="12"/>
      <name val="Pero ExtraBold"/>
      <family val="2"/>
    </font>
    <font>
      <sz val="14"/>
      <color indexed="8"/>
      <name val="Pero ExtraBold"/>
      <family val="2"/>
    </font>
    <font>
      <sz val="10"/>
      <color theme="1"/>
      <name val="Pero ExtraBold"/>
      <family val="2"/>
    </font>
    <font>
      <sz val="11"/>
      <name val="Pero ExtraBold"/>
      <family val="2"/>
    </font>
    <font>
      <sz val="11"/>
      <color indexed="8"/>
      <name val="Pero ExtraBold"/>
      <family val="2"/>
    </font>
    <font>
      <b/>
      <sz val="11"/>
      <color rgb="FF000000"/>
      <name val="Pero"/>
      <family val="2"/>
    </font>
    <font>
      <b/>
      <sz val="11"/>
      <color rgb="FF1F3864"/>
      <name val="Pero"/>
      <family val="2"/>
    </font>
    <font>
      <i/>
      <sz val="10"/>
      <color rgb="FF595959"/>
      <name val="Pero"/>
      <family val="2"/>
    </font>
  </fonts>
  <fills count="11">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C8AFBE"/>
        <bgColor indexed="64"/>
      </patternFill>
    </fill>
    <fill>
      <patternFill patternType="solid">
        <fgColor theme="0"/>
        <bgColor indexed="64"/>
      </patternFill>
    </fill>
    <fill>
      <patternFill patternType="solid">
        <fgColor rgb="FFFFCC99"/>
      </patternFill>
    </fill>
    <fill>
      <patternFill patternType="solid">
        <fgColor theme="0" tint="-4.9989318521683403E-2"/>
        <bgColor indexed="64"/>
      </patternFill>
    </fill>
    <fill>
      <patternFill patternType="solid">
        <fgColor rgb="FFDCA591"/>
        <bgColor indexed="64"/>
      </patternFill>
    </fill>
    <fill>
      <patternFill patternType="solid">
        <fgColor rgb="FFCDD2B4"/>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bottom/>
      <diagonal/>
    </border>
    <border>
      <left style="thin">
        <color theme="0" tint="-0.499984740745262"/>
      </left>
      <right/>
      <top style="thin">
        <color theme="0" tint="-0.499984740745262"/>
      </top>
      <bottom style="thin">
        <color theme="1" tint="0.34998626667073579"/>
      </bottom>
      <diagonal/>
    </border>
    <border>
      <left/>
      <right style="thin">
        <color theme="0" tint="-0.499984740745262"/>
      </right>
      <top style="thin">
        <color theme="0" tint="-0.499984740745262"/>
      </top>
      <bottom style="thin">
        <color theme="1" tint="0.34998626667073579"/>
      </bottom>
      <diagonal/>
    </border>
    <border>
      <left style="thin">
        <color indexed="64"/>
      </left>
      <right style="thin">
        <color indexed="64"/>
      </right>
      <top/>
      <bottom/>
      <diagonal/>
    </border>
  </borders>
  <cellStyleXfs count="6">
    <xf numFmtId="0" fontId="0" fillId="0" borderId="0"/>
    <xf numFmtId="43" fontId="2" fillId="0" borderId="0" applyFont="0" applyFill="0" applyBorder="0" applyAlignment="0" applyProtection="0"/>
    <xf numFmtId="0" fontId="5" fillId="0" borderId="0" applyNumberFormat="0" applyFill="0" applyBorder="0" applyAlignment="0" applyProtection="0"/>
    <xf numFmtId="9" fontId="2" fillId="0" borderId="0" applyFont="0" applyFill="0" applyBorder="0" applyAlignment="0" applyProtection="0"/>
    <xf numFmtId="0" fontId="17" fillId="7" borderId="9" applyNumberFormat="0" applyAlignment="0" applyProtection="0"/>
    <xf numFmtId="0" fontId="18" fillId="0" borderId="0"/>
  </cellStyleXfs>
  <cellXfs count="345">
    <xf numFmtId="0" fontId="0" fillId="0" borderId="0" xfId="0"/>
    <xf numFmtId="0" fontId="3" fillId="0" borderId="0" xfId="0" applyFont="1"/>
    <xf numFmtId="0" fontId="8" fillId="0" borderId="0" xfId="0" applyFont="1"/>
    <xf numFmtId="0" fontId="10" fillId="0" borderId="1" xfId="0" applyFont="1" applyBorder="1"/>
    <xf numFmtId="0" fontId="11" fillId="5" borderId="1" xfId="0" applyFont="1" applyFill="1" applyBorder="1" applyAlignment="1">
      <alignment horizontal="right"/>
    </xf>
    <xf numFmtId="3" fontId="10" fillId="0" borderId="1" xfId="0" applyNumberFormat="1" applyFont="1" applyBorder="1"/>
    <xf numFmtId="0" fontId="10" fillId="3" borderId="1" xfId="0" applyFont="1" applyFill="1" applyBorder="1"/>
    <xf numFmtId="164" fontId="10" fillId="3" borderId="1" xfId="0" applyNumberFormat="1" applyFont="1" applyFill="1" applyBorder="1"/>
    <xf numFmtId="0" fontId="11" fillId="5" borderId="2" xfId="0" applyFont="1" applyFill="1" applyBorder="1" applyAlignment="1">
      <alignment horizontal="left"/>
    </xf>
    <xf numFmtId="0" fontId="6" fillId="0" borderId="3" xfId="0" applyFont="1" applyBorder="1"/>
    <xf numFmtId="0" fontId="5" fillId="0" borderId="0" xfId="2" applyBorder="1" applyAlignment="1"/>
    <xf numFmtId="171" fontId="0" fillId="0" borderId="0" xfId="0" applyNumberFormat="1"/>
    <xf numFmtId="0" fontId="19" fillId="4" borderId="0" xfId="5" applyFont="1" applyFill="1" applyAlignment="1">
      <alignment horizontal="left"/>
    </xf>
    <xf numFmtId="0" fontId="0" fillId="0" borderId="0" xfId="0" applyAlignment="1">
      <alignment vertical="center"/>
    </xf>
    <xf numFmtId="0" fontId="0" fillId="0" borderId="0" xfId="0" applyAlignment="1">
      <alignment wrapText="1"/>
    </xf>
    <xf numFmtId="0" fontId="0" fillId="6" borderId="10" xfId="0" applyFill="1" applyBorder="1" applyAlignment="1">
      <alignment horizontal="left" vertical="center"/>
    </xf>
    <xf numFmtId="0" fontId="0" fillId="6" borderId="11" xfId="0" applyFill="1" applyBorder="1" applyAlignment="1">
      <alignment horizontal="left" vertical="center"/>
    </xf>
    <xf numFmtId="0" fontId="0" fillId="6" borderId="11" xfId="0" applyFill="1" applyBorder="1" applyAlignment="1">
      <alignment wrapText="1"/>
    </xf>
    <xf numFmtId="0" fontId="0" fillId="6" borderId="11" xfId="0" applyFill="1" applyBorder="1"/>
    <xf numFmtId="0" fontId="0" fillId="6" borderId="12" xfId="0" applyFill="1" applyBorder="1"/>
    <xf numFmtId="0" fontId="19" fillId="6" borderId="13" xfId="5" applyFont="1" applyFill="1" applyBorder="1" applyAlignment="1">
      <alignment horizontal="left"/>
    </xf>
    <xf numFmtId="0" fontId="26" fillId="3" borderId="0" xfId="5" applyFont="1" applyFill="1" applyAlignment="1">
      <alignment horizontal="left" vertical="center"/>
    </xf>
    <xf numFmtId="0" fontId="26" fillId="3" borderId="0" xfId="5" applyFont="1" applyFill="1" applyAlignment="1">
      <alignment horizontal="center" vertical="center"/>
    </xf>
    <xf numFmtId="0" fontId="0" fillId="3" borderId="0" xfId="0" applyFill="1"/>
    <xf numFmtId="0" fontId="0" fillId="6" borderId="0" xfId="0" applyFill="1"/>
    <xf numFmtId="0" fontId="0" fillId="6" borderId="14" xfId="0" applyFill="1" applyBorder="1"/>
    <xf numFmtId="0" fontId="0" fillId="6" borderId="13" xfId="0" applyFill="1" applyBorder="1" applyAlignment="1">
      <alignment horizontal="left" vertical="center"/>
    </xf>
    <xf numFmtId="0" fontId="0" fillId="6" borderId="0" xfId="0" applyFill="1" applyAlignment="1">
      <alignment horizontal="left" vertical="center"/>
    </xf>
    <xf numFmtId="0" fontId="0" fillId="6" borderId="0" xfId="0" applyFill="1" applyAlignment="1">
      <alignment wrapText="1"/>
    </xf>
    <xf numFmtId="0" fontId="19" fillId="4" borderId="13" xfId="5" applyFont="1" applyFill="1" applyBorder="1" applyAlignment="1">
      <alignment horizontal="left" vertical="center"/>
    </xf>
    <xf numFmtId="0" fontId="19" fillId="4" borderId="0" xfId="5" applyFont="1" applyFill="1" applyAlignment="1">
      <alignment horizontal="left" vertical="center"/>
    </xf>
    <xf numFmtId="0" fontId="19" fillId="4" borderId="0" xfId="5" applyFont="1" applyFill="1" applyAlignment="1">
      <alignment horizontal="left" wrapText="1"/>
    </xf>
    <xf numFmtId="0" fontId="0" fillId="4" borderId="0" xfId="0" applyFill="1"/>
    <xf numFmtId="0" fontId="0" fillId="4" borderId="14" xfId="0" applyFill="1" applyBorder="1"/>
    <xf numFmtId="0" fontId="19" fillId="6" borderId="0" xfId="5" applyFont="1" applyFill="1" applyAlignment="1">
      <alignment horizontal="left" vertical="center"/>
    </xf>
    <xf numFmtId="0" fontId="19" fillId="6" borderId="0" xfId="5" applyFont="1" applyFill="1" applyAlignment="1">
      <alignment horizontal="left" wrapText="1"/>
    </xf>
    <xf numFmtId="0" fontId="19" fillId="6" borderId="0" xfId="5" applyFont="1" applyFill="1" applyAlignment="1">
      <alignment horizontal="left"/>
    </xf>
    <xf numFmtId="0" fontId="27" fillId="6" borderId="15" xfId="5" applyFont="1" applyFill="1" applyBorder="1" applyAlignment="1">
      <alignment horizontal="left" vertical="center"/>
    </xf>
    <xf numFmtId="0" fontId="19" fillId="6" borderId="15" xfId="5" applyFont="1" applyFill="1" applyBorder="1" applyAlignment="1">
      <alignment horizontal="left"/>
    </xf>
    <xf numFmtId="0" fontId="8" fillId="6" borderId="15" xfId="0" applyFont="1" applyFill="1" applyBorder="1" applyAlignment="1">
      <alignment horizontal="left" vertical="center"/>
    </xf>
    <xf numFmtId="0" fontId="15" fillId="6" borderId="15" xfId="2" applyFont="1" applyFill="1" applyBorder="1" applyAlignment="1">
      <alignment wrapText="1"/>
    </xf>
    <xf numFmtId="0" fontId="15" fillId="6" borderId="15" xfId="2" applyFont="1" applyFill="1" applyBorder="1"/>
    <xf numFmtId="0" fontId="8" fillId="6" borderId="0" xfId="0" applyFont="1" applyFill="1" applyAlignment="1">
      <alignment horizontal="left" vertical="center"/>
    </xf>
    <xf numFmtId="0" fontId="19" fillId="4" borderId="14" xfId="5" applyFont="1" applyFill="1" applyBorder="1" applyAlignment="1">
      <alignment horizontal="left"/>
    </xf>
    <xf numFmtId="0" fontId="19" fillId="6" borderId="13" xfId="5" applyFont="1" applyFill="1" applyBorder="1" applyAlignment="1">
      <alignment horizontal="left" vertical="center"/>
    </xf>
    <xf numFmtId="0" fontId="28" fillId="6" borderId="13" xfId="0" applyFont="1" applyFill="1" applyBorder="1" applyAlignment="1">
      <alignment horizontal="left" vertical="center"/>
    </xf>
    <xf numFmtId="0" fontId="8" fillId="6" borderId="13" xfId="0" applyFont="1" applyFill="1" applyBorder="1" applyAlignment="1">
      <alignment horizontal="left" vertical="center"/>
    </xf>
    <xf numFmtId="0" fontId="25" fillId="6" borderId="13" xfId="0" applyFont="1" applyFill="1" applyBorder="1" applyAlignment="1">
      <alignment horizontal="left" vertical="center"/>
    </xf>
    <xf numFmtId="0" fontId="25" fillId="6" borderId="0" xfId="0" applyFont="1" applyFill="1" applyAlignment="1">
      <alignment horizontal="left" vertical="center"/>
    </xf>
    <xf numFmtId="0" fontId="0" fillId="6" borderId="0" xfId="0" applyFill="1" applyAlignment="1">
      <alignment horizontal="left"/>
    </xf>
    <xf numFmtId="0" fontId="0" fillId="6" borderId="13" xfId="0" applyFill="1" applyBorder="1" applyAlignment="1">
      <alignment horizontal="left"/>
    </xf>
    <xf numFmtId="0" fontId="28" fillId="6" borderId="1" xfId="0" applyFont="1" applyFill="1" applyBorder="1" applyAlignment="1">
      <alignment horizontal="left"/>
    </xf>
    <xf numFmtId="166" fontId="0" fillId="6" borderId="0" xfId="0" applyNumberFormat="1" applyFill="1" applyAlignment="1">
      <alignment horizontal="left"/>
    </xf>
    <xf numFmtId="0" fontId="0" fillId="6" borderId="17" xfId="0" applyFill="1" applyBorder="1" applyAlignment="1">
      <alignment horizontal="left" vertical="center"/>
    </xf>
    <xf numFmtId="0" fontId="0" fillId="6" borderId="18" xfId="0" applyFill="1" applyBorder="1" applyAlignment="1">
      <alignment wrapText="1"/>
    </xf>
    <xf numFmtId="0" fontId="0" fillId="6" borderId="18" xfId="0" applyFill="1" applyBorder="1"/>
    <xf numFmtId="0" fontId="0" fillId="6" borderId="19" xfId="0" applyFill="1" applyBorder="1"/>
    <xf numFmtId="0" fontId="0" fillId="0" borderId="0" xfId="0" applyAlignment="1">
      <alignment horizontal="left" vertical="center"/>
    </xf>
    <xf numFmtId="170" fontId="0" fillId="0" borderId="0" xfId="0" applyNumberFormat="1" applyAlignment="1">
      <alignment horizontal="left"/>
    </xf>
    <xf numFmtId="0" fontId="0" fillId="6" borderId="4" xfId="0" applyFill="1" applyBorder="1" applyAlignment="1">
      <alignment vertical="center"/>
    </xf>
    <xf numFmtId="0" fontId="24" fillId="0" borderId="21" xfId="0" applyFont="1" applyBorder="1" applyAlignment="1">
      <alignment horizontal="left" vertical="center" wrapText="1"/>
    </xf>
    <xf numFmtId="0" fontId="0" fillId="0" borderId="1" xfId="0" applyBorder="1" applyAlignment="1">
      <alignment wrapText="1"/>
    </xf>
    <xf numFmtId="0" fontId="19" fillId="4" borderId="23" xfId="5" applyFont="1" applyFill="1" applyBorder="1" applyAlignment="1">
      <alignment horizontal="left"/>
    </xf>
    <xf numFmtId="173" fontId="20" fillId="4" borderId="6" xfId="5" applyNumberFormat="1" applyFont="1" applyFill="1" applyBorder="1" applyAlignment="1">
      <alignment horizontal="center"/>
    </xf>
    <xf numFmtId="0" fontId="20" fillId="4" borderId="6" xfId="5" applyFont="1" applyFill="1" applyBorder="1"/>
    <xf numFmtId="0" fontId="19" fillId="4" borderId="6" xfId="5" applyFont="1" applyFill="1" applyBorder="1" applyAlignment="1">
      <alignment horizontal="left"/>
    </xf>
    <xf numFmtId="0" fontId="19" fillId="4" borderId="7" xfId="5" applyFont="1" applyFill="1" applyBorder="1" applyAlignment="1">
      <alignment horizontal="left"/>
    </xf>
    <xf numFmtId="0" fontId="0" fillId="0" borderId="4" xfId="0" applyBorder="1"/>
    <xf numFmtId="0" fontId="0" fillId="0" borderId="8" xfId="0" applyBorder="1"/>
    <xf numFmtId="0" fontId="19" fillId="4" borderId="8" xfId="5" applyFont="1" applyFill="1" applyBorder="1" applyAlignment="1">
      <alignment horizontal="left"/>
    </xf>
    <xf numFmtId="0" fontId="23" fillId="4" borderId="4" xfId="5" applyFont="1" applyFill="1" applyBorder="1" applyAlignment="1">
      <alignment horizontal="left"/>
    </xf>
    <xf numFmtId="0" fontId="19" fillId="4" borderId="4" xfId="5" applyFont="1" applyFill="1" applyBorder="1" applyAlignment="1">
      <alignment horizontal="left"/>
    </xf>
    <xf numFmtId="0" fontId="0" fillId="0" borderId="8" xfId="0" applyBorder="1" applyAlignment="1">
      <alignment vertical="center"/>
    </xf>
    <xf numFmtId="0" fontId="0" fillId="0" borderId="20" xfId="0" applyBorder="1"/>
    <xf numFmtId="0" fontId="0" fillId="0" borderId="3" xfId="0" applyBorder="1"/>
    <xf numFmtId="0" fontId="0" fillId="0" borderId="5" xfId="0" applyBorder="1"/>
    <xf numFmtId="164" fontId="0" fillId="0" borderId="0" xfId="1" applyNumberFormat="1" applyFont="1" applyBorder="1"/>
    <xf numFmtId="0" fontId="0" fillId="0" borderId="3" xfId="0" applyBorder="1" applyAlignment="1">
      <alignment wrapText="1"/>
    </xf>
    <xf numFmtId="170" fontId="0" fillId="6" borderId="0" xfId="0" applyNumberFormat="1" applyFill="1" applyAlignment="1">
      <alignment wrapText="1"/>
    </xf>
    <xf numFmtId="1" fontId="22" fillId="0" borderId="0" xfId="3" applyNumberFormat="1" applyFont="1" applyFill="1" applyBorder="1" applyAlignment="1">
      <alignment horizontal="center" vertical="center"/>
    </xf>
    <xf numFmtId="178" fontId="7" fillId="0" borderId="1" xfId="0" applyNumberFormat="1" applyFont="1" applyBorder="1"/>
    <xf numFmtId="164" fontId="0" fillId="0" borderId="0" xfId="1" applyNumberFormat="1" applyFont="1" applyFill="1" applyBorder="1"/>
    <xf numFmtId="167" fontId="13" fillId="6" borderId="1" xfId="0" applyNumberFormat="1" applyFont="1" applyFill="1" applyBorder="1" applyAlignment="1">
      <alignment vertical="center" wrapText="1"/>
    </xf>
    <xf numFmtId="0" fontId="8" fillId="6" borderId="15" xfId="0" applyFont="1" applyFill="1" applyBorder="1" applyAlignment="1">
      <alignment horizontal="left" vertical="center" wrapText="1"/>
    </xf>
    <xf numFmtId="169" fontId="37" fillId="0" borderId="4" xfId="0" applyNumberFormat="1" applyFont="1" applyBorder="1"/>
    <xf numFmtId="0" fontId="25" fillId="6" borderId="0" xfId="0" applyFont="1" applyFill="1"/>
    <xf numFmtId="167" fontId="33" fillId="6" borderId="0" xfId="0" applyNumberFormat="1" applyFont="1" applyFill="1"/>
    <xf numFmtId="169" fontId="8" fillId="6" borderId="0" xfId="0" applyNumberFormat="1" applyFont="1" applyFill="1"/>
    <xf numFmtId="167" fontId="0" fillId="6" borderId="0" xfId="0" applyNumberFormat="1" applyFill="1"/>
    <xf numFmtId="0" fontId="8" fillId="6" borderId="0" xfId="0" applyFont="1" applyFill="1"/>
    <xf numFmtId="0" fontId="16" fillId="0" borderId="8" xfId="0" applyFont="1" applyBorder="1" applyAlignment="1">
      <alignment vertical="center"/>
    </xf>
    <xf numFmtId="173" fontId="20" fillId="4" borderId="6" xfId="5" applyNumberFormat="1" applyFont="1" applyFill="1" applyBorder="1" applyAlignment="1">
      <alignment horizontal="center" wrapText="1"/>
    </xf>
    <xf numFmtId="0" fontId="6" fillId="0" borderId="5" xfId="0" applyFont="1" applyBorder="1"/>
    <xf numFmtId="0" fontId="19" fillId="6" borderId="4" xfId="5" applyFont="1" applyFill="1" applyBorder="1" applyAlignment="1">
      <alignment horizontal="left"/>
    </xf>
    <xf numFmtId="0" fontId="19" fillId="0" borderId="4" xfId="5" applyFont="1" applyBorder="1" applyAlignment="1">
      <alignment horizontal="left"/>
    </xf>
    <xf numFmtId="0" fontId="15" fillId="0" borderId="1" xfId="2" applyFont="1" applyBorder="1" applyAlignment="1">
      <alignment horizontal="left" vertical="center"/>
    </xf>
    <xf numFmtId="9" fontId="8" fillId="10" borderId="3" xfId="0" applyNumberFormat="1" applyFont="1" applyFill="1" applyBorder="1"/>
    <xf numFmtId="9" fontId="8" fillId="10" borderId="4" xfId="0" applyNumberFormat="1" applyFont="1" applyFill="1" applyBorder="1"/>
    <xf numFmtId="169" fontId="8" fillId="10" borderId="3" xfId="0" applyNumberFormat="1" applyFont="1" applyFill="1" applyBorder="1"/>
    <xf numFmtId="169" fontId="8" fillId="10" borderId="4" xfId="0" applyNumberFormat="1" applyFont="1" applyFill="1" applyBorder="1"/>
    <xf numFmtId="0" fontId="8" fillId="10" borderId="4" xfId="0" applyFont="1" applyFill="1" applyBorder="1"/>
    <xf numFmtId="0" fontId="7" fillId="6" borderId="1" xfId="0" applyFont="1" applyFill="1" applyBorder="1" applyAlignment="1">
      <alignment horizontal="left" vertical="center"/>
    </xf>
    <xf numFmtId="0" fontId="7" fillId="6" borderId="1" xfId="0" applyFont="1" applyFill="1" applyBorder="1" applyAlignment="1">
      <alignment horizontal="left"/>
    </xf>
    <xf numFmtId="0" fontId="24" fillId="0" borderId="0" xfId="0" applyFont="1" applyAlignment="1">
      <alignment horizontal="left" vertical="center" wrapText="1"/>
    </xf>
    <xf numFmtId="0" fontId="35" fillId="5" borderId="1" xfId="0" applyFont="1" applyFill="1" applyBorder="1" applyAlignment="1">
      <alignment horizontal="left"/>
    </xf>
    <xf numFmtId="0" fontId="19" fillId="0" borderId="0" xfId="5" applyFont="1" applyAlignment="1">
      <alignment horizontal="left"/>
    </xf>
    <xf numFmtId="0" fontId="20" fillId="4" borderId="0" xfId="5" applyFont="1" applyFill="1"/>
    <xf numFmtId="0" fontId="20" fillId="4" borderId="8" xfId="5" applyFont="1" applyFill="1" applyBorder="1"/>
    <xf numFmtId="0" fontId="23" fillId="4" borderId="0" xfId="5" applyFont="1" applyFill="1" applyAlignment="1">
      <alignment horizontal="left"/>
    </xf>
    <xf numFmtId="0" fontId="8" fillId="0" borderId="0" xfId="0" applyFont="1" applyAlignment="1">
      <alignment horizontal="left" vertical="center" wrapText="1"/>
    </xf>
    <xf numFmtId="0" fontId="8" fillId="0" borderId="0" xfId="0" applyFont="1" applyAlignment="1">
      <alignment horizontal="center"/>
    </xf>
    <xf numFmtId="0" fontId="8" fillId="0" borderId="0" xfId="0" applyFont="1" applyAlignment="1">
      <alignment horizontal="left"/>
    </xf>
    <xf numFmtId="0" fontId="30" fillId="0" borderId="0" xfId="0" applyFont="1" applyAlignment="1">
      <alignment vertical="center" wrapText="1"/>
    </xf>
    <xf numFmtId="0" fontId="8" fillId="0" borderId="0" xfId="0" applyFont="1" applyAlignment="1">
      <alignment horizontal="left" vertical="center"/>
    </xf>
    <xf numFmtId="0" fontId="5" fillId="0" borderId="0" xfId="2" applyBorder="1" applyAlignment="1">
      <alignment horizontal="left" vertical="center" wrapText="1"/>
    </xf>
    <xf numFmtId="0" fontId="20" fillId="0" borderId="0" xfId="5" applyFont="1"/>
    <xf numFmtId="173" fontId="20" fillId="0" borderId="0" xfId="5" applyNumberFormat="1" applyFont="1" applyAlignment="1">
      <alignment horizontal="center"/>
    </xf>
    <xf numFmtId="173" fontId="20" fillId="4" borderId="0" xfId="5" applyNumberFormat="1" applyFont="1" applyFill="1" applyAlignment="1">
      <alignment horizontal="center"/>
    </xf>
    <xf numFmtId="0" fontId="6" fillId="0" borderId="0" xfId="0" applyFont="1" applyAlignment="1">
      <alignment horizontal="left"/>
    </xf>
    <xf numFmtId="0" fontId="9" fillId="0" borderId="0" xfId="0" applyFont="1"/>
    <xf numFmtId="0" fontId="12" fillId="0" borderId="0" xfId="0" applyFont="1"/>
    <xf numFmtId="0" fontId="0" fillId="0" borderId="0" xfId="0" applyAlignment="1">
      <alignment horizontal="left"/>
    </xf>
    <xf numFmtId="0" fontId="15" fillId="6" borderId="1" xfId="2" applyFont="1" applyFill="1" applyBorder="1" applyAlignment="1">
      <alignment horizontal="left"/>
    </xf>
    <xf numFmtId="0" fontId="0" fillId="0" borderId="1" xfId="0" applyBorder="1"/>
    <xf numFmtId="0" fontId="31" fillId="0" borderId="1" xfId="0" quotePrefix="1" applyFont="1" applyBorder="1" applyAlignment="1">
      <alignment horizontal="left" vertical="center"/>
    </xf>
    <xf numFmtId="1" fontId="0" fillId="0" borderId="1" xfId="0" applyNumberFormat="1" applyBorder="1" applyAlignment="1">
      <alignment vertical="center"/>
    </xf>
    <xf numFmtId="0" fontId="35" fillId="5" borderId="1" xfId="0" applyFont="1" applyFill="1" applyBorder="1"/>
    <xf numFmtId="0" fontId="35" fillId="5" borderId="1" xfId="0" applyFont="1" applyFill="1" applyBorder="1" applyAlignment="1">
      <alignment horizontal="left" wrapText="1"/>
    </xf>
    <xf numFmtId="0" fontId="35" fillId="5" borderId="1" xfId="0" applyFont="1" applyFill="1" applyBorder="1" applyAlignment="1">
      <alignment horizontal="right"/>
    </xf>
    <xf numFmtId="1" fontId="35" fillId="2" borderId="1" xfId="0" applyNumberFormat="1" applyFont="1" applyFill="1" applyBorder="1"/>
    <xf numFmtId="0" fontId="35" fillId="5" borderId="1" xfId="0" applyFont="1" applyFill="1" applyBorder="1" applyAlignment="1">
      <alignment wrapText="1"/>
    </xf>
    <xf numFmtId="1" fontId="35" fillId="5" borderId="1" xfId="0" applyNumberFormat="1" applyFont="1" applyFill="1" applyBorder="1" applyAlignment="1">
      <alignment horizontal="right"/>
    </xf>
    <xf numFmtId="0" fontId="11" fillId="5" borderId="1" xfId="0" applyFont="1" applyFill="1" applyBorder="1" applyAlignment="1">
      <alignment horizontal="right" wrapText="1"/>
    </xf>
    <xf numFmtId="0" fontId="13" fillId="0" borderId="1" xfId="0" applyFont="1" applyBorder="1" applyAlignment="1">
      <alignment vertical="center"/>
    </xf>
    <xf numFmtId="9" fontId="32" fillId="0" borderId="0" xfId="5" applyNumberFormat="1" applyFont="1"/>
    <xf numFmtId="0" fontId="36" fillId="0" borderId="0" xfId="0" applyFont="1"/>
    <xf numFmtId="0" fontId="4" fillId="0" borderId="0" xfId="0" applyFont="1"/>
    <xf numFmtId="0" fontId="11" fillId="6" borderId="0" xfId="0" applyFont="1" applyFill="1"/>
    <xf numFmtId="0" fontId="11" fillId="6" borderId="0" xfId="0" applyFont="1" applyFill="1" applyAlignment="1">
      <alignment horizontal="left"/>
    </xf>
    <xf numFmtId="173" fontId="20" fillId="4" borderId="0" xfId="5" applyNumberFormat="1" applyFont="1" applyFill="1" applyAlignment="1">
      <alignment horizontal="center" wrapText="1"/>
    </xf>
    <xf numFmtId="0" fontId="8" fillId="0" borderId="8" xfId="0" applyFont="1" applyBorder="1"/>
    <xf numFmtId="170" fontId="0" fillId="0" borderId="0" xfId="0" applyNumberFormat="1"/>
    <xf numFmtId="1" fontId="0" fillId="0" borderId="0" xfId="0" applyNumberFormat="1"/>
    <xf numFmtId="1" fontId="20" fillId="4" borderId="0" xfId="5" applyNumberFormat="1" applyFont="1" applyFill="1"/>
    <xf numFmtId="1" fontId="20" fillId="4" borderId="0" xfId="5" applyNumberFormat="1" applyFont="1" applyFill="1" applyAlignment="1">
      <alignment horizontal="center"/>
    </xf>
    <xf numFmtId="1" fontId="19" fillId="4" borderId="0" xfId="5" applyNumberFormat="1" applyFont="1" applyFill="1" applyAlignment="1">
      <alignment horizontal="left"/>
    </xf>
    <xf numFmtId="0" fontId="0" fillId="6" borderId="8" xfId="0" applyFill="1" applyBorder="1"/>
    <xf numFmtId="173" fontId="20" fillId="6" borderId="0" xfId="5" applyNumberFormat="1" applyFont="1" applyFill="1" applyAlignment="1">
      <alignment horizontal="center" wrapText="1"/>
    </xf>
    <xf numFmtId="0" fontId="20" fillId="6" borderId="0" xfId="5" applyFont="1" applyFill="1"/>
    <xf numFmtId="173" fontId="20" fillId="6" borderId="0" xfId="5" applyNumberFormat="1" applyFont="1" applyFill="1" applyAlignment="1">
      <alignment horizontal="center"/>
    </xf>
    <xf numFmtId="0" fontId="14" fillId="0" borderId="0" xfId="0" applyFont="1" applyAlignment="1">
      <alignment horizontal="left" vertical="center"/>
    </xf>
    <xf numFmtId="0" fontId="0" fillId="0" borderId="0" xfId="0" applyAlignment="1">
      <alignment horizontal="left" wrapText="1"/>
    </xf>
    <xf numFmtId="173" fontId="20" fillId="0" borderId="0" xfId="5" applyNumberFormat="1" applyFont="1" applyAlignment="1">
      <alignment horizontal="center" wrapText="1"/>
    </xf>
    <xf numFmtId="172" fontId="0" fillId="0" borderId="0" xfId="0" applyNumberFormat="1"/>
    <xf numFmtId="0" fontId="16" fillId="0" borderId="0" xfId="0" applyFont="1" applyAlignment="1">
      <alignment vertical="center" wrapText="1"/>
    </xf>
    <xf numFmtId="2" fontId="33" fillId="6" borderId="0" xfId="0" applyNumberFormat="1" applyFont="1" applyFill="1"/>
    <xf numFmtId="167" fontId="8" fillId="10" borderId="0" xfId="0" applyNumberFormat="1" applyFont="1" applyFill="1"/>
    <xf numFmtId="167" fontId="33" fillId="0" borderId="0" xfId="0" applyNumberFormat="1" applyFont="1"/>
    <xf numFmtId="167" fontId="34" fillId="0" borderId="0" xfId="0" applyNumberFormat="1" applyFont="1"/>
    <xf numFmtId="178" fontId="40" fillId="0" borderId="1" xfId="0" applyNumberFormat="1" applyFont="1" applyBorder="1"/>
    <xf numFmtId="1" fontId="10" fillId="2" borderId="1" xfId="0" applyNumberFormat="1" applyFont="1" applyFill="1" applyBorder="1"/>
    <xf numFmtId="1" fontId="10" fillId="2" borderId="1" xfId="0" applyNumberFormat="1" applyFont="1" applyFill="1" applyBorder="1" applyAlignment="1">
      <alignment horizontal="right"/>
    </xf>
    <xf numFmtId="0" fontId="35" fillId="0" borderId="1" xfId="0" applyFont="1" applyBorder="1" applyAlignment="1">
      <alignment vertical="center"/>
    </xf>
    <xf numFmtId="170" fontId="35" fillId="0" borderId="1" xfId="0" applyNumberFormat="1" applyFont="1" applyBorder="1" applyAlignment="1">
      <alignment vertical="center" wrapText="1"/>
    </xf>
    <xf numFmtId="170" fontId="35" fillId="0" borderId="1" xfId="0" applyNumberFormat="1" applyFont="1" applyBorder="1" applyAlignment="1">
      <alignment vertical="center"/>
    </xf>
    <xf numFmtId="169" fontId="35" fillId="0" borderId="1" xfId="0" applyNumberFormat="1" applyFont="1" applyBorder="1" applyAlignment="1">
      <alignment vertical="center"/>
    </xf>
    <xf numFmtId="0" fontId="41" fillId="4" borderId="0" xfId="5" applyFont="1" applyFill="1" applyAlignment="1">
      <alignment horizontal="left"/>
    </xf>
    <xf numFmtId="0" fontId="41" fillId="4" borderId="6" xfId="5" applyFont="1" applyFill="1" applyBorder="1" applyAlignment="1">
      <alignment horizontal="left"/>
    </xf>
    <xf numFmtId="0" fontId="13" fillId="4" borderId="0" xfId="5" applyFont="1" applyFill="1" applyAlignment="1">
      <alignment horizontal="left"/>
    </xf>
    <xf numFmtId="0" fontId="13" fillId="4" borderId="6" xfId="5" applyFont="1" applyFill="1" applyBorder="1" applyAlignment="1">
      <alignment horizontal="left"/>
    </xf>
    <xf numFmtId="167" fontId="21" fillId="0" borderId="0" xfId="0" applyNumberFormat="1" applyFont="1" applyAlignment="1">
      <alignment horizontal="right" vertical="center" wrapText="1"/>
    </xf>
    <xf numFmtId="0" fontId="2" fillId="0" borderId="0" xfId="0" applyFont="1" applyAlignment="1">
      <alignment horizontal="right"/>
    </xf>
    <xf numFmtId="0" fontId="24" fillId="0" borderId="21" xfId="0" applyFont="1" applyBorder="1" applyAlignment="1">
      <alignment horizontal="left" vertical="center"/>
    </xf>
    <xf numFmtId="0" fontId="21" fillId="0" borderId="1" xfId="5" applyFont="1" applyBorder="1" applyAlignment="1">
      <alignment horizontal="left" vertical="center"/>
    </xf>
    <xf numFmtId="0" fontId="38" fillId="6" borderId="1" xfId="0" applyFont="1" applyFill="1" applyBorder="1" applyAlignment="1">
      <alignment horizontal="left" vertical="center"/>
    </xf>
    <xf numFmtId="0" fontId="8" fillId="0" borderId="1" xfId="0" applyFont="1" applyBorder="1" applyAlignment="1">
      <alignment horizontal="left"/>
    </xf>
    <xf numFmtId="0" fontId="35" fillId="3" borderId="15" xfId="0" applyFont="1" applyFill="1" applyBorder="1" applyAlignment="1">
      <alignment horizontal="left" vertical="center" wrapText="1"/>
    </xf>
    <xf numFmtId="167" fontId="29" fillId="10" borderId="15" xfId="0" applyNumberFormat="1" applyFont="1" applyFill="1" applyBorder="1" applyAlignment="1">
      <alignment horizontal="left" vertical="center" wrapText="1"/>
    </xf>
    <xf numFmtId="0" fontId="8" fillId="6" borderId="31" xfId="0" applyFont="1" applyFill="1" applyBorder="1" applyAlignment="1">
      <alignment horizontal="left" vertical="center"/>
    </xf>
    <xf numFmtId="0" fontId="0" fillId="0" borderId="32" xfId="0" applyBorder="1"/>
    <xf numFmtId="0" fontId="8" fillId="0" borderId="31" xfId="0" applyFont="1" applyBorder="1" applyAlignment="1">
      <alignment horizontal="left" vertical="center" wrapText="1"/>
    </xf>
    <xf numFmtId="0" fontId="10" fillId="5" borderId="1" xfId="0" applyFont="1" applyFill="1" applyBorder="1" applyAlignment="1">
      <alignment horizontal="center"/>
    </xf>
    <xf numFmtId="0" fontId="10" fillId="5" borderId="1" xfId="0" applyFont="1" applyFill="1" applyBorder="1" applyAlignment="1">
      <alignment horizontal="center" vertical="center"/>
    </xf>
    <xf numFmtId="0" fontId="44" fillId="5" borderId="1" xfId="5" applyFont="1" applyFill="1" applyBorder="1" applyAlignment="1">
      <alignment horizontal="center" vertical="center"/>
    </xf>
    <xf numFmtId="0" fontId="44" fillId="5" borderId="1" xfId="5" applyFont="1" applyFill="1" applyBorder="1" applyAlignment="1">
      <alignment horizontal="center" vertical="center" wrapText="1"/>
    </xf>
    <xf numFmtId="0" fontId="2" fillId="0" borderId="0" xfId="0" applyFont="1"/>
    <xf numFmtId="3" fontId="31" fillId="9" borderId="1" xfId="0" applyNumberFormat="1" applyFont="1" applyFill="1" applyBorder="1" applyAlignment="1">
      <alignment vertical="center" wrapText="1"/>
    </xf>
    <xf numFmtId="3" fontId="31" fillId="4" borderId="1" xfId="0" applyNumberFormat="1" applyFont="1" applyFill="1" applyBorder="1" applyAlignment="1">
      <alignment vertical="center" wrapText="1"/>
    </xf>
    <xf numFmtId="0" fontId="7" fillId="6" borderId="1" xfId="4" applyFont="1" applyFill="1" applyBorder="1" applyAlignment="1">
      <alignment horizontal="left"/>
    </xf>
    <xf numFmtId="0" fontId="7" fillId="6" borderId="1" xfId="4" applyFont="1" applyFill="1" applyBorder="1" applyAlignment="1">
      <alignment horizontal="center"/>
    </xf>
    <xf numFmtId="0" fontId="15" fillId="0" borderId="0" xfId="2" applyFont="1" applyBorder="1" applyAlignment="1"/>
    <xf numFmtId="0" fontId="0" fillId="0" borderId="0" xfId="0" applyAlignment="1">
      <alignment horizontal="center"/>
    </xf>
    <xf numFmtId="0" fontId="44" fillId="5" borderId="2" xfId="5" applyFont="1" applyFill="1" applyBorder="1" applyAlignment="1">
      <alignment horizontal="center" vertical="center" wrapText="1"/>
    </xf>
    <xf numFmtId="0" fontId="21" fillId="0" borderId="1" xfId="5" applyFont="1" applyBorder="1"/>
    <xf numFmtId="0" fontId="8" fillId="0" borderId="0" xfId="0" applyFont="1" applyAlignment="1">
      <alignment horizontal="center" wrapText="1"/>
    </xf>
    <xf numFmtId="0" fontId="45" fillId="0" borderId="0" xfId="0" applyFont="1" applyAlignment="1">
      <alignment vertical="center"/>
    </xf>
    <xf numFmtId="0" fontId="45" fillId="0" borderId="0" xfId="0" applyFont="1" applyAlignment="1">
      <alignment horizontal="left" vertical="center"/>
    </xf>
    <xf numFmtId="0" fontId="46" fillId="0" borderId="0" xfId="0" applyFont="1"/>
    <xf numFmtId="0" fontId="45" fillId="0" borderId="0" xfId="0" applyFont="1" applyAlignment="1">
      <alignment horizontal="right" vertical="center"/>
    </xf>
    <xf numFmtId="0" fontId="45" fillId="0" borderId="4" xfId="0" applyFont="1" applyBorder="1" applyAlignment="1">
      <alignment vertical="center"/>
    </xf>
    <xf numFmtId="0" fontId="15" fillId="0" borderId="1" xfId="2" applyFont="1" applyFill="1" applyBorder="1" applyAlignment="1"/>
    <xf numFmtId="0" fontId="15" fillId="0" borderId="0" xfId="2" applyFont="1" applyBorder="1" applyAlignment="1">
      <alignment horizontal="left" vertical="center"/>
    </xf>
    <xf numFmtId="0" fontId="47" fillId="0" borderId="6" xfId="0" applyFont="1" applyBorder="1" applyAlignment="1">
      <alignment horizontal="left" vertical="center"/>
    </xf>
    <xf numFmtId="178" fontId="7" fillId="4" borderId="1" xfId="0" applyNumberFormat="1" applyFont="1" applyFill="1" applyBorder="1"/>
    <xf numFmtId="0" fontId="35" fillId="5" borderId="1" xfId="0" applyFont="1" applyFill="1" applyBorder="1" applyAlignment="1">
      <alignment horizontal="center"/>
    </xf>
    <xf numFmtId="0" fontId="35" fillId="5" borderId="1" xfId="0" applyFont="1" applyFill="1" applyBorder="1" applyAlignment="1">
      <alignment horizontal="center" wrapText="1"/>
    </xf>
    <xf numFmtId="0" fontId="43" fillId="6" borderId="0" xfId="4" applyFont="1" applyFill="1" applyBorder="1" applyAlignment="1">
      <alignment horizontal="center" vertical="center"/>
    </xf>
    <xf numFmtId="0" fontId="7" fillId="4" borderId="0" xfId="4" applyFont="1" applyFill="1" applyBorder="1" applyAlignment="1">
      <alignment horizontal="center" vertical="center"/>
    </xf>
    <xf numFmtId="0" fontId="28" fillId="3" borderId="33" xfId="0" applyFont="1" applyFill="1" applyBorder="1" applyAlignment="1">
      <alignment horizontal="left" vertical="center"/>
    </xf>
    <xf numFmtId="0" fontId="28" fillId="3" borderId="34" xfId="0" applyFont="1" applyFill="1" applyBorder="1" applyAlignment="1">
      <alignment horizontal="left" vertical="center"/>
    </xf>
    <xf numFmtId="0" fontId="0" fillId="6" borderId="16" xfId="0" applyFill="1" applyBorder="1" applyAlignment="1">
      <alignment horizontal="left"/>
    </xf>
    <xf numFmtId="0" fontId="0" fillId="6" borderId="4" xfId="0" applyFill="1" applyBorder="1" applyAlignment="1">
      <alignment horizontal="left"/>
    </xf>
    <xf numFmtId="0" fontId="6" fillId="0" borderId="0" xfId="0" applyFont="1" applyAlignment="1">
      <alignment horizontal="left"/>
    </xf>
    <xf numFmtId="0" fontId="10" fillId="0" borderId="1" xfId="0" applyFont="1" applyBorder="1" applyAlignment="1">
      <alignment horizontal="center" vertical="center"/>
    </xf>
    <xf numFmtId="0" fontId="35" fillId="2" borderId="1" xfId="0" applyFont="1" applyFill="1" applyBorder="1" applyAlignment="1">
      <alignment horizontal="left"/>
    </xf>
    <xf numFmtId="0" fontId="10" fillId="0" borderId="1" xfId="0" applyFont="1" applyBorder="1" applyAlignment="1">
      <alignment horizontal="center" vertical="center" wrapText="1"/>
    </xf>
    <xf numFmtId="0" fontId="35" fillId="2" borderId="27" xfId="0" applyFont="1" applyFill="1" applyBorder="1" applyAlignment="1">
      <alignment horizontal="left"/>
    </xf>
    <xf numFmtId="0" fontId="35" fillId="2" borderId="28" xfId="0" applyFont="1" applyFill="1" applyBorder="1" applyAlignment="1">
      <alignment horizontal="left"/>
    </xf>
    <xf numFmtId="0" fontId="1" fillId="4" borderId="0" xfId="0" applyFont="1" applyFill="1"/>
    <xf numFmtId="0" fontId="1" fillId="6" borderId="13" xfId="0" applyFont="1" applyFill="1" applyBorder="1"/>
    <xf numFmtId="0" fontId="1" fillId="6" borderId="0" xfId="0" applyFont="1" applyFill="1"/>
    <xf numFmtId="0" fontId="1" fillId="6" borderId="15" xfId="0" applyFont="1" applyFill="1" applyBorder="1" applyAlignment="1">
      <alignment wrapText="1"/>
    </xf>
    <xf numFmtId="0" fontId="1" fillId="6" borderId="15" xfId="0" applyFont="1" applyFill="1" applyBorder="1"/>
    <xf numFmtId="0" fontId="1" fillId="6" borderId="15" xfId="0" quotePrefix="1" applyFont="1" applyFill="1" applyBorder="1" applyAlignment="1">
      <alignment wrapText="1"/>
    </xf>
    <xf numFmtId="0" fontId="1" fillId="6" borderId="15" xfId="0" applyFont="1" applyFill="1" applyBorder="1" applyAlignment="1">
      <alignment vertical="center" wrapText="1"/>
    </xf>
    <xf numFmtId="174" fontId="1" fillId="6" borderId="15" xfId="0" applyNumberFormat="1" applyFont="1" applyFill="1" applyBorder="1" applyAlignment="1">
      <alignment horizontal="left" wrapText="1"/>
    </xf>
    <xf numFmtId="175" fontId="1" fillId="6" borderId="1" xfId="1" applyNumberFormat="1" applyFont="1" applyFill="1" applyBorder="1" applyAlignment="1">
      <alignment horizontal="left" vertical="center"/>
    </xf>
    <xf numFmtId="17" fontId="1" fillId="6" borderId="15" xfId="0" applyNumberFormat="1" applyFont="1" applyFill="1" applyBorder="1" applyAlignment="1">
      <alignment horizontal="left" wrapText="1"/>
    </xf>
    <xf numFmtId="0" fontId="1" fillId="6" borderId="0" xfId="0" applyFont="1" applyFill="1" applyAlignment="1">
      <alignment wrapText="1"/>
    </xf>
    <xf numFmtId="0" fontId="1" fillId="6" borderId="31" xfId="0" applyFont="1" applyFill="1" applyBorder="1" applyAlignment="1">
      <alignment vertical="center" wrapText="1"/>
    </xf>
    <xf numFmtId="167" fontId="1" fillId="0" borderId="31" xfId="0" applyNumberFormat="1" applyFont="1" applyBorder="1" applyAlignment="1">
      <alignment horizontal="left"/>
    </xf>
    <xf numFmtId="0" fontId="1" fillId="6" borderId="13" xfId="0" applyFont="1" applyFill="1" applyBorder="1" applyAlignment="1">
      <alignment horizontal="left" vertical="center"/>
    </xf>
    <xf numFmtId="0" fontId="1" fillId="6" borderId="0" xfId="0" applyFont="1" applyFill="1" applyAlignment="1">
      <alignment horizontal="left" vertical="center"/>
    </xf>
    <xf numFmtId="0" fontId="1" fillId="6" borderId="24"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6" borderId="26" xfId="0" applyFont="1" applyFill="1" applyBorder="1" applyAlignment="1">
      <alignment horizontal="left" vertical="center" wrapText="1"/>
    </xf>
    <xf numFmtId="0" fontId="1" fillId="6" borderId="18" xfId="0" applyFont="1" applyFill="1" applyBorder="1" applyAlignment="1">
      <alignment horizontal="left" vertical="center" wrapText="1"/>
    </xf>
    <xf numFmtId="0" fontId="1" fillId="6" borderId="19" xfId="0" applyFont="1" applyFill="1" applyBorder="1" applyAlignment="1">
      <alignment horizontal="left" vertical="center" wrapText="1"/>
    </xf>
    <xf numFmtId="165" fontId="1" fillId="0" borderId="0" xfId="0" applyNumberFormat="1" applyFont="1"/>
    <xf numFmtId="0" fontId="1" fillId="0" borderId="3" xfId="0" applyFont="1" applyBorder="1"/>
    <xf numFmtId="167" fontId="1" fillId="9" borderId="0" xfId="0" quotePrefix="1" applyNumberFormat="1" applyFont="1" applyFill="1" applyAlignment="1">
      <alignment horizontal="center" vertical="center"/>
    </xf>
    <xf numFmtId="0" fontId="1" fillId="0" borderId="1" xfId="0" applyFont="1" applyBorder="1" applyAlignment="1">
      <alignment wrapText="1"/>
    </xf>
    <xf numFmtId="9" fontId="1" fillId="4" borderId="1" xfId="3" applyFont="1" applyFill="1" applyBorder="1" applyAlignment="1">
      <alignment horizontal="center"/>
    </xf>
    <xf numFmtId="0" fontId="1" fillId="0" borderId="0" xfId="0" applyFont="1" applyAlignment="1">
      <alignment vertical="center" wrapText="1"/>
    </xf>
    <xf numFmtId="169" fontId="1" fillId="9" borderId="1" xfId="3" applyNumberFormat="1" applyFont="1" applyFill="1" applyBorder="1" applyAlignment="1">
      <alignment horizontal="center" vertical="center"/>
    </xf>
    <xf numFmtId="0" fontId="1" fillId="0" borderId="0" xfId="0" applyFont="1" applyAlignment="1">
      <alignment wrapText="1"/>
    </xf>
    <xf numFmtId="167" fontId="1" fillId="0" borderId="0" xfId="0" quotePrefix="1" applyNumberFormat="1" applyFont="1" applyAlignment="1">
      <alignment vertical="center"/>
    </xf>
    <xf numFmtId="0" fontId="1" fillId="0" borderId="1" xfId="0" applyFont="1" applyBorder="1" applyAlignment="1">
      <alignment horizontal="left" vertical="center" wrapText="1"/>
    </xf>
    <xf numFmtId="1" fontId="1" fillId="4" borderId="1" xfId="3" applyNumberFormat="1" applyFont="1" applyFill="1" applyBorder="1" applyAlignment="1">
      <alignment horizontal="center" vertical="center"/>
    </xf>
    <xf numFmtId="0" fontId="1" fillId="0" borderId="2" xfId="0" applyFont="1" applyBorder="1" applyAlignment="1">
      <alignment horizontal="center" vertical="center" wrapText="1"/>
    </xf>
    <xf numFmtId="2" fontId="1" fillId="4" borderId="1" xfId="3" applyNumberFormat="1" applyFont="1" applyFill="1" applyBorder="1" applyAlignment="1">
      <alignment horizontal="center" vertical="center"/>
    </xf>
    <xf numFmtId="0" fontId="1" fillId="0" borderId="35" xfId="0" applyFont="1" applyBorder="1" applyAlignment="1">
      <alignment horizontal="center" vertical="center" wrapText="1"/>
    </xf>
    <xf numFmtId="0" fontId="1" fillId="0" borderId="30" xfId="0" applyFont="1" applyBorder="1" applyAlignment="1">
      <alignment horizontal="center" vertical="center" wrapText="1"/>
    </xf>
    <xf numFmtId="1" fontId="1" fillId="9" borderId="1" xfId="0" applyNumberFormat="1"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9" fontId="1" fillId="0" borderId="0" xfId="0" applyNumberFormat="1" applyFont="1" applyAlignment="1">
      <alignment horizontal="center" vertical="center" wrapText="1"/>
    </xf>
    <xf numFmtId="167" fontId="1" fillId="9" borderId="1" xfId="3" applyNumberFormat="1" applyFont="1" applyFill="1" applyBorder="1" applyAlignment="1">
      <alignment horizontal="center" vertical="center"/>
    </xf>
    <xf numFmtId="0" fontId="1" fillId="0" borderId="2" xfId="0" applyFont="1" applyBorder="1" applyAlignment="1">
      <alignment horizontal="center" wrapText="1"/>
    </xf>
    <xf numFmtId="0" fontId="1" fillId="0" borderId="1" xfId="0" applyFont="1" applyBorder="1"/>
    <xf numFmtId="0" fontId="1" fillId="0" borderId="35" xfId="0" applyFont="1" applyBorder="1" applyAlignment="1">
      <alignment horizontal="center" wrapText="1"/>
    </xf>
    <xf numFmtId="0" fontId="1" fillId="0" borderId="1" xfId="0" applyFont="1" applyBorder="1" applyAlignment="1">
      <alignment vertical="center" wrapText="1"/>
    </xf>
    <xf numFmtId="167" fontId="1" fillId="0" borderId="1" xfId="0" quotePrefix="1" applyNumberFormat="1" applyFont="1" applyBorder="1" applyAlignment="1">
      <alignment horizontal="center" vertical="center"/>
    </xf>
    <xf numFmtId="9" fontId="1" fillId="0" borderId="1" xfId="0" quotePrefix="1" applyNumberFormat="1" applyFont="1" applyBorder="1" applyAlignment="1">
      <alignment horizontal="center" vertical="center"/>
    </xf>
    <xf numFmtId="0" fontId="1" fillId="0" borderId="30" xfId="0" applyFont="1" applyBorder="1" applyAlignment="1">
      <alignment horizontal="center" wrapText="1"/>
    </xf>
    <xf numFmtId="1" fontId="1" fillId="9" borderId="1" xfId="3" applyNumberFormat="1" applyFont="1" applyFill="1" applyBorder="1" applyAlignment="1">
      <alignment horizontal="center" vertical="center"/>
    </xf>
    <xf numFmtId="1" fontId="1" fillId="0" borderId="4" xfId="0" applyNumberFormat="1" applyFont="1" applyBorder="1" applyAlignment="1">
      <alignment horizontal="center" vertical="center"/>
    </xf>
    <xf numFmtId="1" fontId="1" fillId="0" borderId="1" xfId="3" applyNumberFormat="1" applyFont="1" applyFill="1" applyBorder="1" applyAlignment="1">
      <alignment horizontal="center" vertical="center"/>
    </xf>
    <xf numFmtId="1" fontId="1" fillId="0" borderId="0" xfId="0" applyNumberFormat="1" applyFont="1" applyAlignment="1">
      <alignment horizontal="center" vertical="center"/>
    </xf>
    <xf numFmtId="1" fontId="1" fillId="9" borderId="1" xfId="0" applyNumberFormat="1" applyFont="1" applyFill="1" applyBorder="1" applyAlignment="1">
      <alignment horizontal="right" vertical="center"/>
    </xf>
    <xf numFmtId="0" fontId="1" fillId="0" borderId="0" xfId="0" applyFont="1" applyAlignment="1">
      <alignment horizontal="left"/>
    </xf>
    <xf numFmtId="0" fontId="1" fillId="4" borderId="1" xfId="0" applyFont="1" applyFill="1" applyBorder="1" applyAlignment="1">
      <alignment horizontal="right"/>
    </xf>
    <xf numFmtId="0" fontId="1" fillId="0" borderId="3" xfId="0" applyFont="1" applyBorder="1" applyAlignment="1">
      <alignment horizontal="left"/>
    </xf>
    <xf numFmtId="0" fontId="1" fillId="0" borderId="0" xfId="0" applyFont="1"/>
    <xf numFmtId="9" fontId="1" fillId="0" borderId="22" xfId="3" applyFont="1" applyFill="1" applyBorder="1" applyAlignment="1">
      <alignment horizontal="right" vertical="center"/>
    </xf>
    <xf numFmtId="9" fontId="1" fillId="0" borderId="0" xfId="3" applyFont="1" applyFill="1" applyBorder="1" applyAlignment="1">
      <alignment horizontal="right" vertical="center"/>
    </xf>
    <xf numFmtId="9" fontId="1" fillId="4" borderId="22" xfId="3" applyFont="1" applyFill="1" applyBorder="1" applyAlignment="1">
      <alignment horizontal="right" vertical="center"/>
    </xf>
    <xf numFmtId="9" fontId="1" fillId="9" borderId="22" xfId="3" applyFont="1" applyFill="1" applyBorder="1" applyAlignment="1">
      <alignment horizontal="right" vertical="center"/>
    </xf>
    <xf numFmtId="0" fontId="1" fillId="6" borderId="0" xfId="0" applyFont="1" applyFill="1" applyAlignment="1">
      <alignment horizontal="left" vertical="center" wrapText="1"/>
    </xf>
    <xf numFmtId="8" fontId="1" fillId="6" borderId="4" xfId="0" applyNumberFormat="1" applyFont="1" applyFill="1" applyBorder="1"/>
    <xf numFmtId="0" fontId="1" fillId="6" borderId="1" xfId="0" applyFont="1" applyFill="1" applyBorder="1" applyAlignment="1">
      <alignment vertical="center"/>
    </xf>
    <xf numFmtId="168" fontId="1" fillId="4" borderId="1" xfId="0" applyNumberFormat="1" applyFont="1" applyFill="1" applyBorder="1" applyAlignment="1">
      <alignment horizontal="right" vertical="center" wrapText="1"/>
    </xf>
    <xf numFmtId="0" fontId="1" fillId="6" borderId="1" xfId="0" applyFont="1" applyFill="1" applyBorder="1" applyAlignment="1">
      <alignment horizontal="left" vertical="center"/>
    </xf>
    <xf numFmtId="0" fontId="1" fillId="6" borderId="0" xfId="0" applyFont="1" applyFill="1" applyAlignment="1">
      <alignment horizontal="left" vertical="center"/>
    </xf>
    <xf numFmtId="3" fontId="1" fillId="4" borderId="1" xfId="0" applyNumberFormat="1" applyFont="1" applyFill="1" applyBorder="1" applyAlignment="1">
      <alignment horizontal="right" vertical="center" wrapText="1"/>
    </xf>
    <xf numFmtId="0" fontId="1" fillId="4" borderId="1" xfId="0" applyFont="1" applyFill="1" applyBorder="1" applyAlignment="1">
      <alignment horizontal="right" vertical="center"/>
    </xf>
    <xf numFmtId="0" fontId="1" fillId="6" borderId="1" xfId="0" applyFont="1" applyFill="1" applyBorder="1" applyAlignment="1">
      <alignment horizontal="left"/>
    </xf>
    <xf numFmtId="3" fontId="1" fillId="4" borderId="1" xfId="0" applyNumberFormat="1" applyFont="1" applyFill="1" applyBorder="1" applyAlignment="1">
      <alignment horizontal="right" vertical="center"/>
    </xf>
    <xf numFmtId="4" fontId="1" fillId="0" borderId="0" xfId="0" applyNumberFormat="1" applyFont="1" applyAlignment="1">
      <alignment horizontal="right" vertical="center" wrapText="1"/>
    </xf>
    <xf numFmtId="0" fontId="1" fillId="0" borderId="0" xfId="0" applyFont="1" applyAlignment="1">
      <alignment horizontal="left" vertical="center"/>
    </xf>
    <xf numFmtId="8" fontId="1" fillId="0" borderId="4" xfId="0" applyNumberFormat="1" applyFont="1" applyBorder="1"/>
    <xf numFmtId="0" fontId="1" fillId="0" borderId="1" xfId="0" applyFont="1" applyBorder="1" applyAlignment="1">
      <alignment horizontal="left" vertical="center"/>
    </xf>
    <xf numFmtId="175" fontId="1" fillId="0" borderId="1" xfId="1" applyNumberFormat="1" applyFont="1" applyFill="1" applyBorder="1" applyAlignment="1">
      <alignment horizontal="right" vertical="center"/>
    </xf>
    <xf numFmtId="175" fontId="1" fillId="0" borderId="2" xfId="1" applyNumberFormat="1" applyFont="1" applyFill="1" applyBorder="1" applyAlignment="1">
      <alignment horizontal="right" vertical="center"/>
    </xf>
    <xf numFmtId="175" fontId="1" fillId="4" borderId="27" xfId="1" applyNumberFormat="1" applyFont="1" applyFill="1" applyBorder="1" applyAlignment="1">
      <alignment horizontal="right" vertical="center"/>
    </xf>
    <xf numFmtId="175" fontId="1" fillId="4" borderId="29" xfId="1" applyNumberFormat="1" applyFont="1" applyFill="1" applyBorder="1" applyAlignment="1">
      <alignment horizontal="right" vertical="center"/>
    </xf>
    <xf numFmtId="175" fontId="1" fillId="4" borderId="28" xfId="1" applyNumberFormat="1" applyFont="1" applyFill="1" applyBorder="1" applyAlignment="1">
      <alignment horizontal="right" vertical="center"/>
    </xf>
    <xf numFmtId="0" fontId="1" fillId="6" borderId="1" xfId="0" applyFont="1" applyFill="1" applyBorder="1" applyAlignment="1">
      <alignment horizontal="left" vertical="center" wrapText="1"/>
    </xf>
    <xf numFmtId="175" fontId="1" fillId="4" borderId="1" xfId="1" applyNumberFormat="1" applyFont="1" applyFill="1" applyBorder="1" applyAlignment="1">
      <alignment horizontal="right" vertical="center"/>
    </xf>
    <xf numFmtId="175" fontId="1" fillId="4" borderId="30" xfId="1" applyNumberFormat="1" applyFont="1" applyFill="1" applyBorder="1" applyAlignment="1">
      <alignment horizontal="right" vertical="center"/>
    </xf>
    <xf numFmtId="0" fontId="1" fillId="0" borderId="0" xfId="0" applyFont="1" applyAlignment="1">
      <alignment horizontal="left" vertical="center" wrapText="1"/>
    </xf>
    <xf numFmtId="0" fontId="1" fillId="0" borderId="8" xfId="0" applyFont="1" applyBorder="1"/>
    <xf numFmtId="9" fontId="1" fillId="4" borderId="1" xfId="0" applyNumberFormat="1" applyFont="1" applyFill="1" applyBorder="1" applyAlignment="1">
      <alignment horizontal="right"/>
    </xf>
    <xf numFmtId="9" fontId="1" fillId="9" borderId="1" xfId="0" applyNumberFormat="1" applyFont="1" applyFill="1" applyBorder="1" applyAlignment="1">
      <alignment horizontal="right"/>
    </xf>
    <xf numFmtId="168" fontId="1" fillId="0" borderId="1" xfId="0" applyNumberFormat="1" applyFont="1" applyBorder="1" applyAlignment="1">
      <alignment horizontal="right"/>
    </xf>
    <xf numFmtId="168" fontId="1" fillId="9" borderId="1" xfId="0" applyNumberFormat="1" applyFont="1" applyFill="1" applyBorder="1" applyAlignment="1">
      <alignment horizontal="right"/>
    </xf>
    <xf numFmtId="176" fontId="1" fillId="0" borderId="1" xfId="1" applyNumberFormat="1" applyFont="1" applyBorder="1"/>
    <xf numFmtId="1" fontId="1" fillId="6" borderId="1" xfId="0" applyNumberFormat="1" applyFont="1" applyFill="1" applyBorder="1"/>
    <xf numFmtId="0" fontId="1" fillId="8" borderId="1" xfId="0" applyFont="1" applyFill="1" applyBorder="1" applyAlignment="1">
      <alignment wrapText="1"/>
    </xf>
    <xf numFmtId="1" fontId="1" fillId="2" borderId="1" xfId="0" applyNumberFormat="1" applyFont="1" applyFill="1" applyBorder="1"/>
    <xf numFmtId="0" fontId="1" fillId="8" borderId="1" xfId="0" applyFont="1" applyFill="1" applyBorder="1"/>
    <xf numFmtId="3" fontId="1" fillId="0" borderId="1" xfId="0" applyNumberFormat="1" applyFont="1" applyBorder="1" applyAlignment="1">
      <alignment horizontal="right"/>
    </xf>
    <xf numFmtId="3" fontId="1" fillId="9" borderId="1" xfId="0" applyNumberFormat="1" applyFont="1" applyFill="1" applyBorder="1" applyAlignment="1">
      <alignment horizontal="right"/>
    </xf>
    <xf numFmtId="1" fontId="1" fillId="0" borderId="1" xfId="1" applyNumberFormat="1" applyFont="1" applyBorder="1"/>
    <xf numFmtId="0" fontId="1" fillId="0" borderId="4" xfId="0" applyFont="1" applyBorder="1"/>
    <xf numFmtId="3" fontId="1" fillId="2" borderId="1" xfId="0" applyNumberFormat="1" applyFont="1" applyFill="1" applyBorder="1"/>
    <xf numFmtId="0" fontId="1" fillId="6" borderId="1" xfId="0" applyFont="1" applyFill="1" applyBorder="1" applyAlignment="1">
      <alignment wrapText="1"/>
    </xf>
    <xf numFmtId="1" fontId="1" fillId="4" borderId="1" xfId="0" applyNumberFormat="1" applyFont="1" applyFill="1" applyBorder="1"/>
    <xf numFmtId="9" fontId="1" fillId="4" borderId="1" xfId="1" applyNumberFormat="1" applyFont="1" applyFill="1" applyBorder="1" applyAlignment="1">
      <alignment horizontal="right"/>
    </xf>
    <xf numFmtId="9" fontId="1" fillId="9" borderId="1" xfId="1" applyNumberFormat="1" applyFont="1" applyFill="1" applyBorder="1" applyAlignment="1">
      <alignment horizontal="right"/>
    </xf>
    <xf numFmtId="0" fontId="1" fillId="0" borderId="1" xfId="0" applyFont="1" applyBorder="1" applyAlignment="1">
      <alignment horizontal="left"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9" fontId="1" fillId="9" borderId="1" xfId="0" applyNumberFormat="1" applyFont="1" applyFill="1" applyBorder="1"/>
    <xf numFmtId="2" fontId="1" fillId="9" borderId="1" xfId="0" applyNumberFormat="1" applyFont="1" applyFill="1" applyBorder="1"/>
    <xf numFmtId="2" fontId="1" fillId="9" borderId="1" xfId="0" applyNumberFormat="1" applyFont="1" applyFill="1" applyBorder="1" applyAlignment="1">
      <alignment horizontal="right"/>
    </xf>
    <xf numFmtId="1" fontId="1" fillId="6" borderId="1" xfId="1" applyNumberFormat="1" applyFont="1" applyFill="1" applyBorder="1"/>
    <xf numFmtId="176" fontId="1" fillId="6" borderId="1" xfId="1" applyNumberFormat="1" applyFont="1" applyFill="1" applyBorder="1"/>
    <xf numFmtId="0" fontId="1" fillId="6" borderId="1" xfId="0" applyFont="1" applyFill="1" applyBorder="1"/>
    <xf numFmtId="1" fontId="1" fillId="9" borderId="1" xfId="0" applyNumberFormat="1" applyFont="1" applyFill="1" applyBorder="1"/>
    <xf numFmtId="177" fontId="1" fillId="2" borderId="1" xfId="0" applyNumberFormat="1" applyFont="1" applyFill="1" applyBorder="1" applyAlignment="1">
      <alignment horizontal="right"/>
    </xf>
    <xf numFmtId="0" fontId="1" fillId="0" borderId="1" xfId="0" applyFont="1" applyBorder="1" applyAlignment="1">
      <alignment horizontal="left"/>
    </xf>
    <xf numFmtId="0" fontId="1" fillId="0" borderId="0" xfId="0" applyFont="1" applyAlignment="1">
      <alignment horizontal="left" vertical="top" wrapText="1"/>
    </xf>
    <xf numFmtId="0" fontId="1" fillId="0" borderId="0" xfId="0" applyFont="1" applyAlignment="1">
      <alignment horizontal="center"/>
    </xf>
    <xf numFmtId="169" fontId="1" fillId="0" borderId="3" xfId="0" applyNumberFormat="1" applyFont="1" applyBorder="1"/>
    <xf numFmtId="9" fontId="1" fillId="0" borderId="3" xfId="0" applyNumberFormat="1" applyFont="1" applyBorder="1"/>
    <xf numFmtId="0" fontId="1" fillId="0" borderId="0" xfId="0" applyFont="1" applyAlignment="1">
      <alignment horizontal="right" vertical="center" textRotation="90" wrapText="1"/>
    </xf>
    <xf numFmtId="167" fontId="1" fillId="0" borderId="0" xfId="0" applyNumberFormat="1" applyFont="1"/>
    <xf numFmtId="9" fontId="1" fillId="0" borderId="4" xfId="0" applyNumberFormat="1" applyFont="1" applyBorder="1"/>
    <xf numFmtId="167" fontId="1" fillId="9" borderId="0" xfId="0" applyNumberFormat="1" applyFont="1" applyFill="1"/>
    <xf numFmtId="169" fontId="1" fillId="0" borderId="4" xfId="0" applyNumberFormat="1" applyFont="1" applyBorder="1"/>
    <xf numFmtId="0" fontId="1" fillId="9" borderId="3" xfId="0" applyFont="1" applyFill="1" applyBorder="1" applyAlignment="1">
      <alignment horizontal="center" vertical="center" wrapText="1"/>
    </xf>
    <xf numFmtId="0" fontId="1" fillId="6" borderId="0" xfId="0" applyFont="1" applyFill="1" applyAlignment="1">
      <alignment horizontal="center"/>
    </xf>
    <xf numFmtId="169" fontId="1" fillId="6" borderId="0" xfId="0" applyNumberFormat="1" applyFont="1" applyFill="1"/>
    <xf numFmtId="0" fontId="1" fillId="6" borderId="0" xfId="0" applyFont="1" applyFill="1" applyAlignment="1">
      <alignment horizontal="right" vertical="center" textRotation="90" wrapText="1"/>
    </xf>
  </cellXfs>
  <cellStyles count="6">
    <cellStyle name="Eingabe" xfId="4" builtinId="20"/>
    <cellStyle name="Komma" xfId="1" builtinId="3"/>
    <cellStyle name="Link" xfId="2" builtinId="8"/>
    <cellStyle name="Normal 3" xfId="5" xr:uid="{791409E8-066B-4291-8126-D4874143ECBF}"/>
    <cellStyle name="Prozent" xfId="3" builtinId="5"/>
    <cellStyle name="Standard" xfId="0" builtinId="0"/>
  </cellStyles>
  <dxfs count="21">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theme="0"/>
      </font>
      <fill>
        <patternFill>
          <bgColor rgb="FFB4463C"/>
        </patternFill>
      </fill>
    </dxf>
    <dxf>
      <fill>
        <patternFill>
          <bgColor rgb="FFE1BE6E"/>
        </patternFill>
      </fill>
    </dxf>
    <dxf>
      <fill>
        <patternFill>
          <bgColor rgb="FF96B473"/>
        </patternFill>
      </fill>
    </dxf>
    <dxf>
      <font>
        <color theme="0"/>
      </font>
      <fill>
        <patternFill>
          <bgColor rgb="FFB4463C"/>
        </patternFill>
      </fill>
    </dxf>
    <dxf>
      <fill>
        <patternFill>
          <bgColor rgb="FFE1BE6E"/>
        </patternFill>
      </fill>
    </dxf>
    <dxf>
      <fill>
        <patternFill>
          <bgColor rgb="FF96B473"/>
        </patternFill>
      </fill>
    </dxf>
  </dxfs>
  <tableStyles count="0" defaultTableStyle="TableStyleMedium2" defaultPivotStyle="PivotStyleLight16"/>
  <colors>
    <mruColors>
      <color rgb="FFDCA591"/>
      <color rgb="FFF0D7AA"/>
      <color rgb="FFCDD2B4"/>
      <color rgb="FF8CA0C3"/>
      <color rgb="FFBED2E1"/>
      <color rgb="FFC8AF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Pero" panose="020F0506020203030304" pitchFamily="34" charset="0"/>
                <a:ea typeface="+mn-ea"/>
                <a:cs typeface="+mn-cs"/>
              </a:defRPr>
            </a:pPr>
            <a:r>
              <a:rPr lang="en-US" b="1"/>
              <a:t>Present Value vs. Project Costs</a:t>
            </a:r>
          </a:p>
        </c:rich>
      </c:tx>
      <c:layout>
        <c:manualLayout>
          <c:xMode val="edge"/>
          <c:yMode val="edge"/>
          <c:x val="0.38266930231298235"/>
          <c:y val="2.772963388617406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Pero" panose="020F0506020203030304" pitchFamily="34" charset="0"/>
              <a:ea typeface="+mn-ea"/>
              <a:cs typeface="+mn-cs"/>
            </a:defRPr>
          </a:pPr>
          <a:endParaRPr lang="en-US"/>
        </a:p>
      </c:txPr>
    </c:title>
    <c:autoTitleDeleted val="0"/>
    <c:plotArea>
      <c:layout>
        <c:manualLayout>
          <c:layoutTarget val="inner"/>
          <c:xMode val="edge"/>
          <c:yMode val="edge"/>
          <c:x val="8.7407794014573548E-2"/>
          <c:y val="0.12003518151674583"/>
          <c:w val="0.91259220598542645"/>
          <c:h val="0.74103425397315226"/>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DD2B4"/>
              </a:solidFill>
              <a:ln>
                <a:noFill/>
              </a:ln>
              <a:effectLst/>
            </c:spPr>
            <c:extLst>
              <c:ext xmlns:c16="http://schemas.microsoft.com/office/drawing/2014/chart" uri="{C3380CC4-5D6E-409C-BE32-E72D297353CC}">
                <c16:uniqueId val="{00000001-E39C-4090-B0CF-7A6C6A50EB27}"/>
              </c:ext>
            </c:extLst>
          </c:dPt>
          <c:dPt>
            <c:idx val="1"/>
            <c:invertIfNegative val="0"/>
            <c:bubble3D val="0"/>
            <c:spPr>
              <a:solidFill>
                <a:srgbClr val="CDD2B4"/>
              </a:solidFill>
              <a:ln>
                <a:noFill/>
              </a:ln>
              <a:effectLst/>
            </c:spPr>
            <c:extLst>
              <c:ext xmlns:c16="http://schemas.microsoft.com/office/drawing/2014/chart" uri="{C3380CC4-5D6E-409C-BE32-E72D297353CC}">
                <c16:uniqueId val="{00000003-E39C-4090-B0CF-7A6C6A50EB27}"/>
              </c:ext>
            </c:extLst>
          </c:dPt>
          <c:dPt>
            <c:idx val="2"/>
            <c:invertIfNegative val="0"/>
            <c:bubble3D val="0"/>
            <c:spPr>
              <a:solidFill>
                <a:srgbClr val="DCA591"/>
              </a:solidFill>
              <a:ln>
                <a:noFill/>
              </a:ln>
              <a:effectLst/>
            </c:spPr>
            <c:extLst>
              <c:ext xmlns:c16="http://schemas.microsoft.com/office/drawing/2014/chart" uri="{C3380CC4-5D6E-409C-BE32-E72D297353CC}">
                <c16:uniqueId val="{00000005-E39C-4090-B0CF-7A6C6A50EB27}"/>
              </c:ext>
            </c:extLst>
          </c:dPt>
          <c:dPt>
            <c:idx val="3"/>
            <c:invertIfNegative val="0"/>
            <c:bubble3D val="0"/>
            <c:spPr>
              <a:solidFill>
                <a:srgbClr val="CDD2B4"/>
              </a:solidFill>
              <a:ln>
                <a:noFill/>
              </a:ln>
              <a:effectLst/>
            </c:spPr>
            <c:extLst>
              <c:ext xmlns:c16="http://schemas.microsoft.com/office/drawing/2014/chart" uri="{C3380CC4-5D6E-409C-BE32-E72D297353CC}">
                <c16:uniqueId val="{00000007-E39C-4090-B0CF-7A6C6A50EB27}"/>
              </c:ext>
            </c:extLst>
          </c:dPt>
          <c:dPt>
            <c:idx val="4"/>
            <c:invertIfNegative val="0"/>
            <c:bubble3D val="0"/>
            <c:spPr>
              <a:solidFill>
                <a:srgbClr val="8CA0C3"/>
              </a:solidFill>
              <a:ln>
                <a:noFill/>
              </a:ln>
              <a:effectLst/>
            </c:spPr>
            <c:extLst>
              <c:ext xmlns:c16="http://schemas.microsoft.com/office/drawing/2014/chart" uri="{C3380CC4-5D6E-409C-BE32-E72D297353CC}">
                <c16:uniqueId val="{00000009-E39C-4090-B0CF-7A6C6A50EB27}"/>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Summary!$B$66:$C$70</c:f>
              <c:multiLvlStrCache>
                <c:ptCount val="5"/>
                <c:lvl>
                  <c:pt idx="0">
                    <c:v>Present Value (in 2021 EUR)</c:v>
                  </c:pt>
                  <c:pt idx="1">
                    <c:v>Present Value (in 2021 EUR)</c:v>
                  </c:pt>
                  <c:pt idx="2">
                    <c:v>Project Costs discounted (in 2021 EUR)</c:v>
                  </c:pt>
                  <c:pt idx="3">
                    <c:v>Present Value (in 2021 EUR)</c:v>
                  </c:pt>
                  <c:pt idx="4">
                    <c:v>Net Present Value (in 2021 EUR)</c:v>
                  </c:pt>
                </c:lvl>
                <c:lvl>
                  <c:pt idx="0">
                    <c:v>C2022</c:v>
                  </c:pt>
                  <c:pt idx="1">
                    <c:v>C2023</c:v>
                  </c:pt>
                  <c:pt idx="2">
                    <c:v>Combined</c:v>
                  </c:pt>
                </c:lvl>
              </c:multiLvlStrCache>
            </c:multiLvlStrRef>
          </c:cat>
          <c:val>
            <c:numRef>
              <c:f>Summary!$D$66:$D$70</c:f>
              <c:numCache>
                <c:formatCode>#,##0\ "€"</c:formatCode>
                <c:ptCount val="5"/>
                <c:pt idx="0">
                  <c:v>5892474.8705741372</c:v>
                </c:pt>
                <c:pt idx="1">
                  <c:v>9173346.2952965517</c:v>
                </c:pt>
                <c:pt idx="2">
                  <c:v>2407569.5776246525</c:v>
                </c:pt>
                <c:pt idx="3">
                  <c:v>15065821.165870689</c:v>
                </c:pt>
                <c:pt idx="4">
                  <c:v>12658251.588246036</c:v>
                </c:pt>
              </c:numCache>
            </c:numRef>
          </c:val>
          <c:extLst>
            <c:ext xmlns:c16="http://schemas.microsoft.com/office/drawing/2014/chart" uri="{C3380CC4-5D6E-409C-BE32-E72D297353CC}">
              <c16:uniqueId val="{00000012-E39C-4090-B0CF-7A6C6A50EB27}"/>
            </c:ext>
          </c:extLst>
        </c:ser>
        <c:dLbls>
          <c:showLegendKey val="0"/>
          <c:showVal val="0"/>
          <c:showCatName val="0"/>
          <c:showSerName val="0"/>
          <c:showPercent val="0"/>
          <c:showBubbleSize val="0"/>
        </c:dLbls>
        <c:gapWidth val="100"/>
        <c:overlap val="-27"/>
        <c:axId val="843113504"/>
        <c:axId val="843114584"/>
      </c:barChart>
      <c:catAx>
        <c:axId val="843113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crossAx val="843114584"/>
        <c:crosses val="autoZero"/>
        <c:auto val="1"/>
        <c:lblAlgn val="ctr"/>
        <c:lblOffset val="100"/>
        <c:noMultiLvlLbl val="0"/>
      </c:catAx>
      <c:valAx>
        <c:axId val="843114584"/>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o" panose="020F0506020203030304" pitchFamily="34" charset="0"/>
                <a:ea typeface="+mn-ea"/>
                <a:cs typeface="+mn-cs"/>
              </a:defRPr>
            </a:pPr>
            <a:endParaRPr lang="en-US"/>
          </a:p>
        </c:txPr>
        <c:crossAx val="8431135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Pero" panose="020F05060202030303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Pero" panose="020F0506020203030304" pitchFamily="34" charset="0"/>
                <a:ea typeface="+mn-ea"/>
                <a:cs typeface="+mn-cs"/>
              </a:defRPr>
            </a:pPr>
            <a:r>
              <a:rPr lang="en-US" sz="1400" b="1" i="0" u="none" strike="noStrike" kern="1200" spc="0" baseline="0">
                <a:solidFill>
                  <a:sysClr val="windowText" lastClr="000000"/>
                </a:solidFill>
                <a:latin typeface="Pero" panose="020F0506020203030304" pitchFamily="34" charset="0"/>
              </a:rPr>
              <a:t>Present Value vs. Costs per Household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ero" panose="020F0506020203030304" pitchFamily="34" charset="0"/>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DD2B4"/>
              </a:solidFill>
              <a:ln>
                <a:noFill/>
              </a:ln>
              <a:effectLst/>
            </c:spPr>
            <c:extLst>
              <c:ext xmlns:c16="http://schemas.microsoft.com/office/drawing/2014/chart" uri="{C3380CC4-5D6E-409C-BE32-E72D297353CC}">
                <c16:uniqueId val="{00000001-05FC-4629-8C3E-6795B99D24D8}"/>
              </c:ext>
            </c:extLst>
          </c:dPt>
          <c:dPt>
            <c:idx val="1"/>
            <c:invertIfNegative val="0"/>
            <c:bubble3D val="0"/>
            <c:spPr>
              <a:solidFill>
                <a:srgbClr val="CDD2B4"/>
              </a:solidFill>
              <a:ln>
                <a:noFill/>
              </a:ln>
              <a:effectLst/>
            </c:spPr>
            <c:extLst>
              <c:ext xmlns:c16="http://schemas.microsoft.com/office/drawing/2014/chart" uri="{C3380CC4-5D6E-409C-BE32-E72D297353CC}">
                <c16:uniqueId val="{00000003-05FC-4629-8C3E-6795B99D24D8}"/>
              </c:ext>
            </c:extLst>
          </c:dPt>
          <c:dPt>
            <c:idx val="2"/>
            <c:invertIfNegative val="0"/>
            <c:bubble3D val="0"/>
            <c:spPr>
              <a:solidFill>
                <a:srgbClr val="CDD2B4"/>
              </a:solidFill>
              <a:ln>
                <a:noFill/>
              </a:ln>
              <a:effectLst/>
            </c:spPr>
            <c:extLst>
              <c:ext xmlns:c16="http://schemas.microsoft.com/office/drawing/2014/chart" uri="{C3380CC4-5D6E-409C-BE32-E72D297353CC}">
                <c16:uniqueId val="{00000005-05FC-4629-8C3E-6795B99D24D8}"/>
              </c:ext>
            </c:extLst>
          </c:dPt>
          <c:dPt>
            <c:idx val="3"/>
            <c:invertIfNegative val="0"/>
            <c:bubble3D val="0"/>
            <c:spPr>
              <a:solidFill>
                <a:srgbClr val="DCA591"/>
              </a:solidFill>
              <a:ln>
                <a:noFill/>
              </a:ln>
              <a:effectLst/>
            </c:spPr>
            <c:extLst>
              <c:ext xmlns:c16="http://schemas.microsoft.com/office/drawing/2014/chart" uri="{C3380CC4-5D6E-409C-BE32-E72D297353CC}">
                <c16:uniqueId val="{00000007-05FC-4629-8C3E-6795B99D24D8}"/>
              </c:ext>
            </c:extLst>
          </c:dPt>
          <c:dPt>
            <c:idx val="4"/>
            <c:invertIfNegative val="0"/>
            <c:bubble3D val="0"/>
            <c:spPr>
              <a:solidFill>
                <a:srgbClr val="8CA0C3"/>
              </a:solidFill>
              <a:ln>
                <a:noFill/>
              </a:ln>
              <a:effectLst/>
            </c:spPr>
            <c:extLst>
              <c:ext xmlns:c16="http://schemas.microsoft.com/office/drawing/2014/chart" uri="{C3380CC4-5D6E-409C-BE32-E72D297353CC}">
                <c16:uniqueId val="{00000008-C770-46F0-9E09-C63B4897173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Summary!$B$48:$B$52</c:f>
              <c:strCache>
                <c:ptCount val="5"/>
                <c:pt idx="0">
                  <c:v>PV per HH C22</c:v>
                </c:pt>
                <c:pt idx="1">
                  <c:v>PV per HH C23 (forecast)</c:v>
                </c:pt>
                <c:pt idx="2">
                  <c:v>PV per HH combined</c:v>
                </c:pt>
                <c:pt idx="3">
                  <c:v>Costs per HH</c:v>
                </c:pt>
                <c:pt idx="4">
                  <c:v>NPV per HH</c:v>
                </c:pt>
              </c:strCache>
            </c:strRef>
          </c:cat>
          <c:val>
            <c:numRef>
              <c:f>Summary!$C$48:$C$52</c:f>
              <c:numCache>
                <c:formatCode>_-* #,##0\ [$€-407]_-;\-* #,##0\ [$€-407]_-;_-* "-"\ [$€-407]_-;_-@_-</c:formatCode>
                <c:ptCount val="5"/>
                <c:pt idx="0">
                  <c:v>706.87078581743481</c:v>
                </c:pt>
                <c:pt idx="1">
                  <c:v>557.07453059431293</c:v>
                </c:pt>
                <c:pt idx="2">
                  <c:v>607.41931080396273</c:v>
                </c:pt>
                <c:pt idx="3">
                  <c:v>97.067676394978534</c:v>
                </c:pt>
                <c:pt idx="4">
                  <c:v>510.35163440898418</c:v>
                </c:pt>
              </c:numCache>
            </c:numRef>
          </c:val>
          <c:extLst>
            <c:ext xmlns:c16="http://schemas.microsoft.com/office/drawing/2014/chart" uri="{C3380CC4-5D6E-409C-BE32-E72D297353CC}">
              <c16:uniqueId val="{00000008-05FC-4629-8C3E-6795B99D24D8}"/>
            </c:ext>
          </c:extLst>
        </c:ser>
        <c:dLbls>
          <c:showLegendKey val="0"/>
          <c:showVal val="0"/>
          <c:showCatName val="0"/>
          <c:showSerName val="0"/>
          <c:showPercent val="0"/>
          <c:showBubbleSize val="0"/>
        </c:dLbls>
        <c:gapWidth val="100"/>
        <c:axId val="1235029696"/>
        <c:axId val="1235044816"/>
      </c:barChart>
      <c:catAx>
        <c:axId val="1235029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crossAx val="1235044816"/>
        <c:crosses val="autoZero"/>
        <c:auto val="1"/>
        <c:lblAlgn val="ctr"/>
        <c:lblOffset val="100"/>
        <c:noMultiLvlLbl val="0"/>
      </c:catAx>
      <c:valAx>
        <c:axId val="1235044816"/>
        <c:scaling>
          <c:orientation val="minMax"/>
        </c:scaling>
        <c:delete val="0"/>
        <c:axPos val="l"/>
        <c:majorGridlines>
          <c:spPr>
            <a:ln w="9525" cap="flat" cmpd="sng" algn="ctr">
              <a:solidFill>
                <a:schemeClr val="tx1">
                  <a:lumMod val="15000"/>
                  <a:lumOff val="85000"/>
                </a:schemeClr>
              </a:solidFill>
              <a:round/>
            </a:ln>
            <a:effectLst/>
          </c:spPr>
        </c:majorGridlines>
        <c:numFmt formatCode="_-* #,##0\ [$€-407]_-;\-* #,##0\ [$€-407]_-;_-* &quot;-&quot;\ [$€-407]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crossAx val="1235029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ero" panose="020F05060202030303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Pero ExtraBold" panose="020F0804020203030304" pitchFamily="34" charset="0"/>
                <a:ea typeface="+mn-ea"/>
                <a:cs typeface="+mn-cs"/>
              </a:defRPr>
            </a:pPr>
            <a:r>
              <a:rPr lang="en-US" sz="1400" b="1" i="0" u="none" strike="noStrike" kern="1200" spc="0" baseline="0">
                <a:solidFill>
                  <a:sysClr val="windowText" lastClr="000000"/>
                </a:solidFill>
                <a:latin typeface="Pero" panose="020F0506020203030304" pitchFamily="34" charset="0"/>
              </a:rPr>
              <a:t>Share of Project Component in</a:t>
            </a:r>
          </a:p>
          <a:p>
            <a:pPr>
              <a:defRPr>
                <a:latin typeface="Pero ExtraBold" panose="020F0804020203030304" pitchFamily="34" charset="0"/>
              </a:defRPr>
            </a:pPr>
            <a:r>
              <a:rPr lang="en-US" sz="1400" b="1" i="0" u="none" strike="noStrike" kern="1200" spc="0" baseline="0">
                <a:solidFill>
                  <a:sysClr val="windowText" lastClr="000000"/>
                </a:solidFill>
                <a:latin typeface="Pero" panose="020F0506020203030304" pitchFamily="34" charset="0"/>
              </a:rPr>
              <a:t>Total Present Value per Household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ero ExtraBold" panose="020F0804020203030304" pitchFamily="34" charset="0"/>
              <a:ea typeface="+mn-ea"/>
              <a:cs typeface="+mn-cs"/>
            </a:defRPr>
          </a:pPr>
          <a:endParaRPr lang="en-US"/>
        </a:p>
      </c:txPr>
    </c:title>
    <c:autoTitleDeleted val="0"/>
    <c:plotArea>
      <c:layout/>
      <c:barChart>
        <c:barDir val="col"/>
        <c:grouping val="stacked"/>
        <c:varyColors val="0"/>
        <c:ser>
          <c:idx val="0"/>
          <c:order val="0"/>
          <c:tx>
            <c:strRef>
              <c:f>Summary!$E$47</c:f>
              <c:strCache>
                <c:ptCount val="1"/>
                <c:pt idx="0">
                  <c:v>GAPs besides Stumping</c:v>
                </c:pt>
              </c:strCache>
            </c:strRef>
          </c:tx>
          <c:spPr>
            <a:solidFill>
              <a:srgbClr val="CDD2B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Summary!$F$46:$G$46</c:f>
              <c:strCache>
                <c:ptCount val="2"/>
                <c:pt idx="0">
                  <c:v>C22</c:v>
                </c:pt>
                <c:pt idx="1">
                  <c:v>C23</c:v>
                </c:pt>
              </c:strCache>
            </c:strRef>
          </c:cat>
          <c:val>
            <c:numRef>
              <c:f>Summary!$F$47:$G$47</c:f>
              <c:numCache>
                <c:formatCode>#,##0\ [$€-407];\-#,##0\ [$€-407]</c:formatCode>
                <c:ptCount val="2"/>
                <c:pt idx="0">
                  <c:v>57.452779625376351</c:v>
                </c:pt>
                <c:pt idx="1">
                  <c:v>83.876694620106022</c:v>
                </c:pt>
              </c:numCache>
            </c:numRef>
          </c:val>
          <c:extLst>
            <c:ext xmlns:c16="http://schemas.microsoft.com/office/drawing/2014/chart" uri="{C3380CC4-5D6E-409C-BE32-E72D297353CC}">
              <c16:uniqueId val="{00000000-43A2-40B2-AA8C-53FF8167CFD3}"/>
            </c:ext>
          </c:extLst>
        </c:ser>
        <c:ser>
          <c:idx val="1"/>
          <c:order val="1"/>
          <c:tx>
            <c:strRef>
              <c:f>Summary!$E$48</c:f>
              <c:strCache>
                <c:ptCount val="1"/>
                <c:pt idx="0">
                  <c:v>Stumping</c:v>
                </c:pt>
              </c:strCache>
            </c:strRef>
          </c:tx>
          <c:spPr>
            <a:solidFill>
              <a:srgbClr val="8CA0C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Summary!$F$46:$G$46</c:f>
              <c:strCache>
                <c:ptCount val="2"/>
                <c:pt idx="0">
                  <c:v>C22</c:v>
                </c:pt>
                <c:pt idx="1">
                  <c:v>C23</c:v>
                </c:pt>
              </c:strCache>
            </c:strRef>
          </c:cat>
          <c:val>
            <c:numRef>
              <c:f>Summary!$F$48:$G$48</c:f>
              <c:numCache>
                <c:formatCode>#,##0\ [$€-407];\-#,##0\ [$€-407]</c:formatCode>
                <c:ptCount val="2"/>
                <c:pt idx="0">
                  <c:v>524.65395818684442</c:v>
                </c:pt>
                <c:pt idx="1">
                  <c:v>408.88769950285473</c:v>
                </c:pt>
              </c:numCache>
            </c:numRef>
          </c:val>
          <c:extLst>
            <c:ext xmlns:c16="http://schemas.microsoft.com/office/drawing/2014/chart" uri="{C3380CC4-5D6E-409C-BE32-E72D297353CC}">
              <c16:uniqueId val="{00000001-43A2-40B2-AA8C-53FF8167CFD3}"/>
            </c:ext>
          </c:extLst>
        </c:ser>
        <c:ser>
          <c:idx val="2"/>
          <c:order val="2"/>
          <c:tx>
            <c:strRef>
              <c:f>Summary!$E$49</c:f>
              <c:strCache>
                <c:ptCount val="1"/>
                <c:pt idx="0">
                  <c:v>Honey</c:v>
                </c:pt>
              </c:strCache>
            </c:strRef>
          </c:tx>
          <c:spPr>
            <a:solidFill>
              <a:srgbClr val="F0D7A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Summary!$F$46:$G$46</c:f>
              <c:strCache>
                <c:ptCount val="2"/>
                <c:pt idx="0">
                  <c:v>C22</c:v>
                </c:pt>
                <c:pt idx="1">
                  <c:v>C23</c:v>
                </c:pt>
              </c:strCache>
            </c:strRef>
          </c:cat>
          <c:val>
            <c:numRef>
              <c:f>Summary!$F$49:$G$49</c:f>
              <c:numCache>
                <c:formatCode>#,##0\ [$€-407];\-#,##0\ [$€-407]</c:formatCode>
                <c:ptCount val="2"/>
                <c:pt idx="0">
                  <c:v>16.478189628733077</c:v>
                </c:pt>
                <c:pt idx="1">
                  <c:v>12.357137682819316</c:v>
                </c:pt>
              </c:numCache>
            </c:numRef>
          </c:val>
          <c:extLst>
            <c:ext xmlns:c16="http://schemas.microsoft.com/office/drawing/2014/chart" uri="{C3380CC4-5D6E-409C-BE32-E72D297353CC}">
              <c16:uniqueId val="{00000002-43A2-40B2-AA8C-53FF8167CFD3}"/>
            </c:ext>
          </c:extLst>
        </c:ser>
        <c:ser>
          <c:idx val="3"/>
          <c:order val="3"/>
          <c:tx>
            <c:strRef>
              <c:f>Summary!$E$50</c:f>
              <c:strCache>
                <c:ptCount val="1"/>
                <c:pt idx="0">
                  <c:v> Coffee Washing Stations </c:v>
                </c:pt>
              </c:strCache>
            </c:strRef>
          </c:tx>
          <c:spPr>
            <a:solidFill>
              <a:srgbClr val="DCA59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Summary!$F$46:$G$46</c:f>
              <c:strCache>
                <c:ptCount val="2"/>
                <c:pt idx="0">
                  <c:v>C22</c:v>
                </c:pt>
                <c:pt idx="1">
                  <c:v>C23</c:v>
                </c:pt>
              </c:strCache>
            </c:strRef>
          </c:cat>
          <c:val>
            <c:numRef>
              <c:f>Summary!$F$50:$G$50</c:f>
              <c:numCache>
                <c:formatCode>#,##0\ [$€-407];\-#,##0\ [$€-407]</c:formatCode>
                <c:ptCount val="2"/>
                <c:pt idx="0">
                  <c:v>108.28585837648107</c:v>
                </c:pt>
                <c:pt idx="1">
                  <c:v>51.952998788532881</c:v>
                </c:pt>
              </c:numCache>
            </c:numRef>
          </c:val>
          <c:extLst>
            <c:ext xmlns:c16="http://schemas.microsoft.com/office/drawing/2014/chart" uri="{C3380CC4-5D6E-409C-BE32-E72D297353CC}">
              <c16:uniqueId val="{00000003-43A2-40B2-AA8C-53FF8167CFD3}"/>
            </c:ext>
          </c:extLst>
        </c:ser>
        <c:dLbls>
          <c:showLegendKey val="0"/>
          <c:showVal val="0"/>
          <c:showCatName val="0"/>
          <c:showSerName val="0"/>
          <c:showPercent val="0"/>
          <c:showBubbleSize val="0"/>
        </c:dLbls>
        <c:gapWidth val="150"/>
        <c:overlap val="100"/>
        <c:axId val="392140992"/>
        <c:axId val="392146752"/>
      </c:barChart>
      <c:catAx>
        <c:axId val="392140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crossAx val="392146752"/>
        <c:crosses val="autoZero"/>
        <c:auto val="1"/>
        <c:lblAlgn val="ctr"/>
        <c:lblOffset val="100"/>
        <c:noMultiLvlLbl val="0"/>
      </c:catAx>
      <c:valAx>
        <c:axId val="392146752"/>
        <c:scaling>
          <c:orientation val="minMax"/>
        </c:scaling>
        <c:delete val="0"/>
        <c:axPos val="l"/>
        <c:majorGridlines>
          <c:spPr>
            <a:ln w="9525" cap="flat" cmpd="sng" algn="ctr">
              <a:solidFill>
                <a:schemeClr val="tx1">
                  <a:lumMod val="15000"/>
                  <a:lumOff val="85000"/>
                </a:schemeClr>
              </a:solidFill>
              <a:round/>
            </a:ln>
            <a:effectLst/>
          </c:spPr>
        </c:majorGridlines>
        <c:numFmt formatCode="#,##0\ [$€-407];\-#,##0\ [$€-407]"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crossAx val="392140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Pero" panose="020F05060202030303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256398</xdr:colOff>
      <xdr:row>62</xdr:row>
      <xdr:rowOff>134534</xdr:rowOff>
    </xdr:from>
    <xdr:to>
      <xdr:col>10</xdr:col>
      <xdr:colOff>545868</xdr:colOff>
      <xdr:row>83</xdr:row>
      <xdr:rowOff>21338</xdr:rowOff>
    </xdr:to>
    <xdr:graphicFrame macro="">
      <xdr:nvGraphicFramePr>
        <xdr:cNvPr id="5" name="Chart 5">
          <a:extLst>
            <a:ext uri="{FF2B5EF4-FFF2-40B4-BE49-F238E27FC236}">
              <a16:creationId xmlns:a16="http://schemas.microsoft.com/office/drawing/2014/main" id="{CE578721-C3F1-4786-B0C7-65A7CFC4F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68253</xdr:colOff>
      <xdr:row>5</xdr:row>
      <xdr:rowOff>597</xdr:rowOff>
    </xdr:from>
    <xdr:to>
      <xdr:col>11</xdr:col>
      <xdr:colOff>257108</xdr:colOff>
      <xdr:row>16</xdr:row>
      <xdr:rowOff>372717</xdr:rowOff>
    </xdr:to>
    <xdr:sp macro="" textlink="">
      <xdr:nvSpPr>
        <xdr:cNvPr id="19" name="TextBox 2">
          <a:extLst>
            <a:ext uri="{FF2B5EF4-FFF2-40B4-BE49-F238E27FC236}">
              <a16:creationId xmlns:a16="http://schemas.microsoft.com/office/drawing/2014/main" id="{47FEFEDA-16AB-42B4-AE53-F0D40DD9ED1F}"/>
            </a:ext>
          </a:extLst>
        </xdr:cNvPr>
        <xdr:cNvSpPr txBox="1"/>
      </xdr:nvSpPr>
      <xdr:spPr>
        <a:xfrm>
          <a:off x="7655123" y="1135314"/>
          <a:ext cx="4810550" cy="2798925"/>
        </a:xfrm>
        <a:prstGeom prst="rect">
          <a:avLst/>
        </a:prstGeom>
        <a:solidFill>
          <a:sysClr val="window" lastClr="FFFFFF"/>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i="0" u="none" strike="noStrike" baseline="0">
              <a:solidFill>
                <a:schemeClr val="dk1"/>
              </a:solidFill>
              <a:latin typeface="Pero" panose="020F0506020203030304" pitchFamily="34" charset="0"/>
              <a:ea typeface="+mn-ea"/>
              <a:cs typeface="+mn-cs"/>
            </a:rPr>
            <a:t>HWG Summary/Interpretation: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a:solidFill>
                <a:schemeClr val="dk1"/>
              </a:solidFill>
              <a:effectLst/>
              <a:latin typeface="Pero" panose="020F0506020203030304" pitchFamily="34" charset="0"/>
              <a:ea typeface="+mn-ea"/>
              <a:cs typeface="+mn-cs"/>
            </a:rPr>
            <a:t>The model </a:t>
          </a:r>
          <a:r>
            <a:rPr lang="en-US" sz="1000" b="1">
              <a:solidFill>
                <a:schemeClr val="dk1"/>
              </a:solidFill>
              <a:effectLst/>
              <a:latin typeface="Pero" panose="020F0506020203030304" pitchFamily="34" charset="0"/>
              <a:ea typeface="+mn-ea"/>
              <a:cs typeface="+mn-cs"/>
            </a:rPr>
            <a:t>compares the estimated total benefits of ca.</a:t>
          </a:r>
          <a:r>
            <a:rPr lang="en-US" sz="1000" b="1" baseline="0">
              <a:solidFill>
                <a:schemeClr val="dk1"/>
              </a:solidFill>
              <a:effectLst/>
              <a:latin typeface="Pero" panose="020F0506020203030304" pitchFamily="34" charset="0"/>
              <a:ea typeface="+mn-ea"/>
              <a:cs typeface="+mn-cs"/>
            </a:rPr>
            <a:t> 15,1 Mio</a:t>
          </a:r>
          <a:r>
            <a:rPr lang="en-US" sz="1000" b="1">
              <a:solidFill>
                <a:schemeClr val="dk1"/>
              </a:solidFill>
              <a:effectLst/>
              <a:latin typeface="Pero" panose="020F0506020203030304" pitchFamily="34" charset="0"/>
              <a:ea typeface="+mn-ea"/>
              <a:cs typeface="+mn-cs"/>
            </a:rPr>
            <a:t> € with the implementation costs of ca. 2,4 Mio</a:t>
          </a:r>
          <a:r>
            <a:rPr lang="en-US" sz="1000" b="1" baseline="0">
              <a:solidFill>
                <a:schemeClr val="dk1"/>
              </a:solidFill>
              <a:effectLst/>
              <a:latin typeface="Pero" panose="020F0506020203030304" pitchFamily="34" charset="0"/>
              <a:ea typeface="+mn-ea"/>
              <a:cs typeface="+mn-cs"/>
            </a:rPr>
            <a:t> € </a:t>
          </a:r>
          <a:r>
            <a:rPr lang="en-US" sz="1000">
              <a:solidFill>
                <a:schemeClr val="dk1"/>
              </a:solidFill>
              <a:effectLst/>
              <a:latin typeface="Pero" panose="020F0506020203030304" pitchFamily="34" charset="0"/>
              <a:ea typeface="+mn-ea"/>
              <a:cs typeface="+mn-cs"/>
            </a:rPr>
            <a:t>(</a:t>
          </a:r>
          <a:r>
            <a:rPr lang="en-US" sz="1000" b="0" i="0" baseline="0">
              <a:solidFill>
                <a:schemeClr val="dk1"/>
              </a:solidFill>
              <a:effectLst/>
              <a:latin typeface="Pero" panose="020F0506020203030304" pitchFamily="34" charset="0"/>
              <a:ea typeface="+mn-ea"/>
              <a:cs typeface="+mn-cs"/>
            </a:rPr>
            <a:t>values are discounted and delated to real 2021 €</a:t>
          </a:r>
          <a:r>
            <a:rPr lang="en-US" sz="1000">
              <a:solidFill>
                <a:schemeClr val="dk1"/>
              </a:solidFill>
              <a:effectLst/>
              <a:latin typeface="Pero" panose="020F0506020203030304" pitchFamily="34" charset="0"/>
              <a:ea typeface="+mn-ea"/>
              <a:cs typeface="+mn-cs"/>
            </a:rPr>
            <a:t>). </a:t>
          </a:r>
          <a:endParaRPr lang="en-US" sz="1000" b="0" i="0" u="none" strike="noStrike" baseline="0">
            <a:solidFill>
              <a:schemeClr val="dk1"/>
            </a:solidFill>
            <a:latin typeface="Pero" panose="020F0506020203030304" pitchFamily="34" charset="0"/>
            <a:ea typeface="+mn-ea"/>
            <a:cs typeface="+mn-cs"/>
          </a:endParaRPr>
        </a:p>
        <a:p>
          <a:pPr marL="171450" indent="-171450">
            <a:buFont typeface="Arial" panose="020B0604020202020204" pitchFamily="34" charset="0"/>
            <a:buChar char="•"/>
          </a:pPr>
          <a:r>
            <a:rPr lang="en-US" sz="1000" b="0" i="0" u="none" strike="noStrike" baseline="0">
              <a:solidFill>
                <a:schemeClr val="dk1"/>
              </a:solidFill>
              <a:latin typeface="Pero" panose="020F0506020203030304" pitchFamily="34" charset="0"/>
              <a:ea typeface="+mn-ea"/>
              <a:cs typeface="+mn-cs"/>
            </a:rPr>
            <a:t>The preliminary </a:t>
          </a:r>
          <a:r>
            <a:rPr lang="en-US" sz="1000" b="1" i="0" u="none" strike="noStrike" baseline="0">
              <a:solidFill>
                <a:schemeClr val="dk1"/>
              </a:solidFill>
              <a:latin typeface="Pero" panose="020F0506020203030304" pitchFamily="34" charset="0"/>
              <a:ea typeface="+mn-ea"/>
              <a:cs typeface="+mn-cs"/>
            </a:rPr>
            <a:t>SROI result of 6,3 </a:t>
          </a:r>
          <a:r>
            <a:rPr lang="en-US" sz="1000" b="0" i="0" u="none" strike="noStrike" baseline="0">
              <a:solidFill>
                <a:schemeClr val="dk1"/>
              </a:solidFill>
              <a:latin typeface="Pero" panose="020F0506020203030304" pitchFamily="34" charset="0"/>
              <a:ea typeface="+mn-ea"/>
              <a:cs typeface="+mn-cs"/>
            </a:rPr>
            <a:t>shows that under the current assumptions, income effects achieved by the project will significantly outperform the project investment.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0" i="0" baseline="0">
              <a:solidFill>
                <a:schemeClr val="dk1"/>
              </a:solidFill>
              <a:effectLst/>
              <a:latin typeface="Pero" panose="020F0506020203030304" pitchFamily="34" charset="0"/>
              <a:ea typeface="+mn-ea"/>
              <a:cs typeface="+mn-cs"/>
            </a:rPr>
            <a:t>The sensitivity analysis shows that the program will break even: even under </a:t>
          </a:r>
          <a:r>
            <a:rPr lang="en-US" sz="1000" b="1" i="0" baseline="0">
              <a:solidFill>
                <a:schemeClr val="dk1"/>
              </a:solidFill>
              <a:effectLst/>
              <a:latin typeface="Pero" panose="020F0506020203030304" pitchFamily="34" charset="0"/>
              <a:ea typeface="+mn-ea"/>
              <a:cs typeface="+mn-cs"/>
            </a:rPr>
            <a:t>conservative assumptions, the SROI stays above 1. </a:t>
          </a:r>
          <a:r>
            <a:rPr lang="en-US" sz="1000" b="0" i="0" baseline="0">
              <a:solidFill>
                <a:schemeClr val="dk1"/>
              </a:solidFill>
              <a:effectLst/>
              <a:latin typeface="Pero" panose="020F0506020203030304" pitchFamily="34" charset="0"/>
              <a:ea typeface="+mn-ea"/>
              <a:cs typeface="+mn-cs"/>
            </a:rPr>
            <a:t>Under a more optimistic scenario, the SROI will increase substantially.</a:t>
          </a:r>
          <a:endParaRPr lang="en-US" sz="1000" b="1" i="0" u="none" strike="noStrike" baseline="0">
            <a:solidFill>
              <a:schemeClr val="dk1"/>
            </a:solidFill>
            <a:latin typeface="Pero" panose="020F0506020203030304" pitchFamily="34" charset="0"/>
            <a:ea typeface="+mn-ea"/>
            <a:cs typeface="+mn-cs"/>
          </a:endParaRPr>
        </a:p>
        <a:p>
          <a:pPr marL="171450" indent="-171450">
            <a:buFont typeface="Arial" panose="020B0604020202020204" pitchFamily="34" charset="0"/>
            <a:buChar char="•"/>
          </a:pPr>
          <a:r>
            <a:rPr lang="en-US" sz="1000" b="0" i="0" u="none" strike="noStrike" baseline="0">
              <a:solidFill>
                <a:schemeClr val="dk1"/>
              </a:solidFill>
              <a:latin typeface="Pero" panose="020F0506020203030304" pitchFamily="34" charset="0"/>
              <a:ea typeface="+mn-ea"/>
              <a:cs typeface="+mn-cs"/>
            </a:rPr>
            <a:t>In our model, </a:t>
          </a:r>
          <a:r>
            <a:rPr lang="en-US" sz="1000" b="1" i="0" u="none" strike="noStrike" baseline="0">
              <a:solidFill>
                <a:schemeClr val="dk1"/>
              </a:solidFill>
              <a:latin typeface="Pero" panose="020F0506020203030304" pitchFamily="34" charset="0"/>
              <a:ea typeface="+mn-ea"/>
              <a:cs typeface="+mn-cs"/>
            </a:rPr>
            <a:t>the main income driver is stumping as a means of rejuvenation coffee trees</a:t>
          </a:r>
          <a:r>
            <a:rPr lang="en-US" sz="1000" b="0" i="0" u="none" strike="noStrike" baseline="0">
              <a:solidFill>
                <a:schemeClr val="dk1"/>
              </a:solidFill>
              <a:latin typeface="Pero" panose="020F0506020203030304" pitchFamily="34" charset="0"/>
              <a:ea typeface="+mn-ea"/>
              <a:cs typeface="+mn-cs"/>
            </a:rPr>
            <a:t>. Yield effects of stumping are estimated based on TNS's monitoring data and might be overestimating the actual impact. Under conservative assumptions on stumping yield impacts, the SROI drops to 1,7</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0" i="0" u="none" strike="noStrike" baseline="0">
              <a:solidFill>
                <a:schemeClr val="dk1"/>
              </a:solidFill>
              <a:latin typeface="Pero" panose="020F0506020203030304" pitchFamily="34" charset="0"/>
              <a:ea typeface="+mn-ea"/>
              <a:cs typeface="+mn-cs"/>
            </a:rPr>
            <a:t>Accordingly, </a:t>
          </a:r>
          <a:r>
            <a:rPr lang="en-US" sz="1000" b="1" i="0" u="none" strike="noStrike" baseline="0">
              <a:solidFill>
                <a:schemeClr val="dk1"/>
              </a:solidFill>
              <a:latin typeface="Pero" panose="020F0506020203030304" pitchFamily="34" charset="0"/>
              <a:ea typeface="+mn-ea"/>
              <a:cs typeface="+mn-cs"/>
            </a:rPr>
            <a:t>we asses the level of certainty of the model as low. </a:t>
          </a:r>
          <a:r>
            <a:rPr lang="en-US" sz="1000" b="0" i="0" baseline="0">
              <a:solidFill>
                <a:schemeClr val="dk1"/>
              </a:solidFill>
              <a:effectLst/>
              <a:latin typeface="Pero" panose="020F0506020203030304" pitchFamily="34" charset="0"/>
              <a:ea typeface="+mn-ea"/>
              <a:cs typeface="+mn-cs"/>
            </a:rPr>
            <a:t>However, the sensitivity analysis shows that the program is robust: </a:t>
          </a:r>
          <a:r>
            <a:rPr lang="en-US" sz="1000" b="1" i="0" baseline="0">
              <a:solidFill>
                <a:schemeClr val="dk1"/>
              </a:solidFill>
              <a:effectLst/>
              <a:latin typeface="Pero" panose="020F0506020203030304" pitchFamily="34" charset="0"/>
              <a:ea typeface="+mn-ea"/>
              <a:cs typeface="+mn-cs"/>
            </a:rPr>
            <a:t>even with conservative assumptions, the SROI stays above 1</a:t>
          </a:r>
          <a:endParaRPr lang="en-US" sz="1000">
            <a:effectLst/>
            <a:latin typeface="Pero" panose="020F0506020203030304" pitchFamily="34" charset="0"/>
          </a:endParaRPr>
        </a:p>
      </xdr:txBody>
    </xdr:sp>
    <xdr:clientData/>
  </xdr:twoCellAnchor>
  <xdr:twoCellAnchor>
    <xdr:from>
      <xdr:col>0</xdr:col>
      <xdr:colOff>245404</xdr:colOff>
      <xdr:row>44</xdr:row>
      <xdr:rowOff>49008</xdr:rowOff>
    </xdr:from>
    <xdr:to>
      <xdr:col>3</xdr:col>
      <xdr:colOff>317298</xdr:colOff>
      <xdr:row>62</xdr:row>
      <xdr:rowOff>30399</xdr:rowOff>
    </xdr:to>
    <xdr:graphicFrame macro="">
      <xdr:nvGraphicFramePr>
        <xdr:cNvPr id="11" name="Chart 10">
          <a:extLst>
            <a:ext uri="{FF2B5EF4-FFF2-40B4-BE49-F238E27FC236}">
              <a16:creationId xmlns:a16="http://schemas.microsoft.com/office/drawing/2014/main" id="{042D5ECF-0AED-4DDB-9734-382D29CBA3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468921</xdr:colOff>
      <xdr:row>44</xdr:row>
      <xdr:rowOff>42195</xdr:rowOff>
    </xdr:from>
    <xdr:to>
      <xdr:col>10</xdr:col>
      <xdr:colOff>499394</xdr:colOff>
      <xdr:row>62</xdr:row>
      <xdr:rowOff>18676</xdr:rowOff>
    </xdr:to>
    <xdr:graphicFrame macro="">
      <xdr:nvGraphicFramePr>
        <xdr:cNvPr id="12" name="Chart 11">
          <a:extLst>
            <a:ext uri="{FF2B5EF4-FFF2-40B4-BE49-F238E27FC236}">
              <a16:creationId xmlns:a16="http://schemas.microsoft.com/office/drawing/2014/main" id="{4B659872-4F9F-4108-AD2D-286FB4C1ED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293856</xdr:colOff>
      <xdr:row>18</xdr:row>
      <xdr:rowOff>76198</xdr:rowOff>
    </xdr:from>
    <xdr:to>
      <xdr:col>11</xdr:col>
      <xdr:colOff>22412</xdr:colOff>
      <xdr:row>26</xdr:row>
      <xdr:rowOff>168088</xdr:rowOff>
    </xdr:to>
    <xdr:sp macro="" textlink="">
      <xdr:nvSpPr>
        <xdr:cNvPr id="21" name="TextBox 2">
          <a:extLst>
            <a:ext uri="{FF2B5EF4-FFF2-40B4-BE49-F238E27FC236}">
              <a16:creationId xmlns:a16="http://schemas.microsoft.com/office/drawing/2014/main" id="{77D5BBC5-A8DB-439D-AAEF-BE18919125C8}"/>
            </a:ext>
          </a:extLst>
        </xdr:cNvPr>
        <xdr:cNvSpPr txBox="1"/>
      </xdr:nvSpPr>
      <xdr:spPr>
        <a:xfrm>
          <a:off x="6423474" y="4345639"/>
          <a:ext cx="5185820" cy="204171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i="0" u="none" strike="noStrike" baseline="0">
              <a:solidFill>
                <a:schemeClr val="dk1"/>
              </a:solidFill>
              <a:latin typeface="Pero" panose="020F0506020203030304" pitchFamily="34" charset="0"/>
              <a:ea typeface="+mn-ea"/>
              <a:cs typeface="+mn-cs"/>
            </a:rPr>
            <a:t>*Level of certainty:  Low</a:t>
          </a:r>
          <a:endParaRPr lang="en-US" sz="1050" b="0" i="0" u="none" strike="noStrike" baseline="0">
            <a:solidFill>
              <a:schemeClr val="dk1"/>
            </a:solidFill>
            <a:latin typeface="Pero" panose="020F0506020203030304" pitchFamily="34" charset="0"/>
            <a:ea typeface="+mn-ea"/>
            <a:cs typeface="+mn-cs"/>
          </a:endParaRPr>
        </a:p>
        <a:p>
          <a:r>
            <a:rPr lang="en-US" sz="1000" b="0" i="0" u="sng" baseline="0">
              <a:solidFill>
                <a:schemeClr val="dk1"/>
              </a:solidFill>
              <a:effectLst/>
              <a:latin typeface="Pero" panose="020F0506020203030304" pitchFamily="34" charset="0"/>
              <a:ea typeface="+mn-ea"/>
              <a:cs typeface="+mn-cs"/>
            </a:rPr>
            <a:t>Evidence strength</a:t>
          </a:r>
          <a:r>
            <a:rPr lang="en-US" sz="1000" b="0" i="0" baseline="0">
              <a:solidFill>
                <a:schemeClr val="dk1"/>
              </a:solidFill>
              <a:effectLst/>
              <a:latin typeface="Pero" panose="020F0506020203030304" pitchFamily="34" charset="0"/>
              <a:ea typeface="+mn-ea"/>
              <a:cs typeface="+mn-cs"/>
            </a:rPr>
            <a:t>: No direct measurement of household income or consumption expenditure. Income effects modeled from intermediate outcomes. </a:t>
          </a:r>
          <a:endParaRPr lang="en-US" sz="1000">
            <a:effectLst/>
            <a:latin typeface="Pero" panose="020F0506020203030304" pitchFamily="34" charset="0"/>
          </a:endParaRPr>
        </a:p>
        <a:p>
          <a:r>
            <a:rPr lang="en-US" sz="1000" b="0" i="0" baseline="0">
              <a:solidFill>
                <a:schemeClr val="dk1"/>
              </a:solidFill>
              <a:effectLst/>
              <a:latin typeface="Pero" panose="020F0506020203030304" pitchFamily="34" charset="0"/>
              <a:ea typeface="+mn-ea"/>
              <a:cs typeface="+mn-cs"/>
            </a:rPr>
            <a:t>Observational or quasi-experimental evaluation design with some attempt at causal inference.</a:t>
          </a:r>
          <a:br>
            <a:rPr lang="en-US" sz="1000" b="0" i="0" baseline="0">
              <a:solidFill>
                <a:schemeClr val="dk1"/>
              </a:solidFill>
              <a:effectLst/>
              <a:latin typeface="Pero" panose="020F0506020203030304" pitchFamily="34" charset="0"/>
              <a:ea typeface="+mn-ea"/>
              <a:cs typeface="+mn-cs"/>
            </a:rPr>
          </a:br>
          <a:r>
            <a:rPr lang="en-US" sz="1000" b="0" i="0" baseline="0">
              <a:solidFill>
                <a:schemeClr val="dk1"/>
              </a:solidFill>
              <a:effectLst/>
              <a:latin typeface="Pero" panose="020F0506020203030304" pitchFamily="34" charset="0"/>
              <a:ea typeface="+mn-ea"/>
              <a:cs typeface="+mn-cs"/>
            </a:rPr>
            <a:t>Impact estimates from similar contexts or adapted with reasoning</a:t>
          </a:r>
        </a:p>
        <a:p>
          <a:r>
            <a:rPr lang="en-US" sz="1000" b="0" i="0" u="sng" baseline="0">
              <a:solidFill>
                <a:schemeClr val="dk1"/>
              </a:solidFill>
              <a:effectLst/>
              <a:latin typeface="Pero" panose="020F0506020203030304" pitchFamily="34" charset="0"/>
              <a:ea typeface="+mn-ea"/>
              <a:cs typeface="+mn-cs"/>
            </a:rPr>
            <a:t>Precision of impact estimates</a:t>
          </a:r>
          <a:r>
            <a:rPr lang="en-US" sz="1000" b="0" i="0" baseline="0">
              <a:solidFill>
                <a:schemeClr val="dk1"/>
              </a:solidFill>
              <a:effectLst/>
              <a:latin typeface="Pero" panose="020F0506020203030304" pitchFamily="34" charset="0"/>
              <a:ea typeface="+mn-ea"/>
              <a:cs typeface="+mn-cs"/>
            </a:rPr>
            <a:t>: : Moderately wide CI (CI width 30-60%). Borderline statistical significance of impact estimates.</a:t>
          </a:r>
          <a:endParaRPr lang="en-US" sz="1000">
            <a:effectLst/>
            <a:latin typeface="Pero" panose="020F0506020203030304" pitchFamily="34" charset="0"/>
          </a:endParaRPr>
        </a:p>
        <a:p>
          <a:r>
            <a:rPr lang="en-US" sz="1000" b="0" i="0" u="sng" baseline="0">
              <a:solidFill>
                <a:schemeClr val="dk1"/>
              </a:solidFill>
              <a:effectLst/>
              <a:latin typeface="Pero" panose="020F0506020203030304" pitchFamily="34" charset="0"/>
              <a:ea typeface="+mn-ea"/>
              <a:cs typeface="+mn-cs"/>
            </a:rPr>
            <a:t>Assumptions</a:t>
          </a:r>
          <a:r>
            <a:rPr lang="en-US" sz="1000" b="0" i="0" baseline="0">
              <a:solidFill>
                <a:schemeClr val="dk1"/>
              </a:solidFill>
              <a:effectLst/>
              <a:latin typeface="Pero" panose="020F0506020203030304" pitchFamily="34" charset="0"/>
              <a:ea typeface="+mn-ea"/>
              <a:cs typeface="+mn-cs"/>
            </a:rPr>
            <a:t>: Multiple key assumptions with high uncertainty (best guess).</a:t>
          </a:r>
          <a:endParaRPr lang="en-US" sz="1000">
            <a:effectLst/>
            <a:latin typeface="Pero" panose="020F0506020203030304" pitchFamily="34" charset="0"/>
          </a:endParaRPr>
        </a:p>
        <a:p>
          <a:r>
            <a:rPr lang="en-US" sz="1000" b="0" i="0" u="sng" baseline="0">
              <a:solidFill>
                <a:schemeClr val="dk1"/>
              </a:solidFill>
              <a:effectLst/>
              <a:latin typeface="Pero" panose="020F0506020203030304" pitchFamily="34" charset="0"/>
              <a:ea typeface="+mn-ea"/>
              <a:cs typeface="+mn-cs"/>
            </a:rPr>
            <a:t>Sensitivity</a:t>
          </a:r>
          <a:r>
            <a:rPr lang="en-US" sz="1000" b="0" i="0" baseline="0">
              <a:solidFill>
                <a:schemeClr val="dk1"/>
              </a:solidFill>
              <a:effectLst/>
              <a:latin typeface="Pero" panose="020F0506020203030304" pitchFamily="34" charset="0"/>
              <a:ea typeface="+mn-ea"/>
              <a:cs typeface="+mn-cs"/>
            </a:rPr>
            <a:t>: SROI values highly sensitive to key uncertain parameters. Small or plaussible variations (e.g. +/- 10-20%) in key parameters lead to large changes in SROI values or even a change in sign</a:t>
          </a:r>
          <a:endParaRPr lang="en-US" sz="1000">
            <a:effectLst/>
            <a:latin typeface="Pero" panose="020F0506020203030304" pitchFamily="34" charset="0"/>
          </a:endParaRPr>
        </a:p>
      </xdr:txBody>
    </xdr:sp>
    <xdr:clientData/>
  </xdr:twoCellAnchor>
  <xdr:twoCellAnchor>
    <xdr:from>
      <xdr:col>3</xdr:col>
      <xdr:colOff>110515</xdr:colOff>
      <xdr:row>29</xdr:row>
      <xdr:rowOff>5166</xdr:rowOff>
    </xdr:from>
    <xdr:to>
      <xdr:col>11</xdr:col>
      <xdr:colOff>136100</xdr:colOff>
      <xdr:row>31</xdr:row>
      <xdr:rowOff>39737</xdr:rowOff>
    </xdr:to>
    <xdr:sp macro="" textlink="">
      <xdr:nvSpPr>
        <xdr:cNvPr id="17" name="TextBox 2">
          <a:extLst>
            <a:ext uri="{FF2B5EF4-FFF2-40B4-BE49-F238E27FC236}">
              <a16:creationId xmlns:a16="http://schemas.microsoft.com/office/drawing/2014/main" id="{B0BB918C-AF6A-4CAF-BD20-0D46B29B0812}"/>
            </a:ext>
          </a:extLst>
        </xdr:cNvPr>
        <xdr:cNvSpPr txBox="1"/>
      </xdr:nvSpPr>
      <xdr:spPr>
        <a:xfrm>
          <a:off x="6251100" y="7067852"/>
          <a:ext cx="5487261" cy="98707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i="0" u="none" strike="noStrike" baseline="0">
              <a:solidFill>
                <a:schemeClr val="dk1"/>
              </a:solidFill>
              <a:latin typeface="Pero" panose="020F0506020203030304" pitchFamily="34" charset="0"/>
              <a:ea typeface="+mn-ea"/>
              <a:cs typeface="+mn-cs"/>
            </a:rPr>
            <a:t>*Methodological rigor: Good</a:t>
          </a:r>
          <a:r>
            <a:rPr lang="en-US" sz="1050" b="0" i="0" u="none" strike="noStrike" baseline="0">
              <a:solidFill>
                <a:schemeClr val="dk1"/>
              </a:solidFill>
              <a:latin typeface="Pero" panose="020F0506020203030304" pitchFamily="34" charset="0"/>
              <a:ea typeface="+mn-ea"/>
              <a:cs typeface="+mn-cs"/>
            </a:rPr>
            <a:t>	</a:t>
          </a:r>
        </a:p>
        <a:p>
          <a:r>
            <a:rPr lang="en-US" sz="1050" b="0" i="0" u="none" strike="noStrike" baseline="0">
              <a:solidFill>
                <a:schemeClr val="dk1"/>
              </a:solidFill>
              <a:latin typeface="Pero" panose="020F0506020203030304" pitchFamily="34" charset="0"/>
              <a:ea typeface="+mn-ea"/>
              <a:cs typeface="+mn-cs"/>
            </a:rPr>
            <a:t>Design is generally appropriate, with clear and justified sampling and analytical methods, though some limitations remain	</a:t>
          </a:r>
        </a:p>
        <a:p>
          <a:r>
            <a:rPr lang="en-US" sz="1050" b="0" i="0" u="none" strike="noStrike" baseline="0">
              <a:solidFill>
                <a:schemeClr val="dk1"/>
              </a:solidFill>
              <a:latin typeface="Pero" panose="020F0506020203030304" pitchFamily="34" charset="0"/>
              <a:ea typeface="+mn-ea"/>
              <a:cs typeface="+mn-cs"/>
            </a:rPr>
            <a:t>Assumptions: Some substantiated assumptions (with some form of support based on available evidence or logical reasoning).</a:t>
          </a:r>
        </a:p>
      </xdr:txBody>
    </xdr:sp>
    <xdr:clientData/>
  </xdr:twoCellAnchor>
  <xdr:twoCellAnchor editAs="oneCell">
    <xdr:from>
      <xdr:col>4</xdr:col>
      <xdr:colOff>247650</xdr:colOff>
      <xdr:row>0</xdr:row>
      <xdr:rowOff>47625</xdr:rowOff>
    </xdr:from>
    <xdr:to>
      <xdr:col>6</xdr:col>
      <xdr:colOff>275240</xdr:colOff>
      <xdr:row>2</xdr:row>
      <xdr:rowOff>158750</xdr:rowOff>
    </xdr:to>
    <xdr:pic>
      <xdr:nvPicPr>
        <xdr:cNvPr id="6" name="Grafik 5">
          <a:extLst>
            <a:ext uri="{FF2B5EF4-FFF2-40B4-BE49-F238E27FC236}">
              <a16:creationId xmlns:a16="http://schemas.microsoft.com/office/drawing/2014/main" id="{F520A505-FEFC-22F9-B86D-4AD84D20A817}"/>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458075" y="47625"/>
          <a:ext cx="1300765" cy="685800"/>
        </a:xfrm>
        <a:prstGeom prst="rect">
          <a:avLst/>
        </a:prstGeom>
      </xdr:spPr>
    </xdr:pic>
    <xdr:clientData/>
  </xdr:twoCellAnchor>
  <xdr:twoCellAnchor editAs="oneCell">
    <xdr:from>
      <xdr:col>9</xdr:col>
      <xdr:colOff>131667</xdr:colOff>
      <xdr:row>0</xdr:row>
      <xdr:rowOff>153169</xdr:rowOff>
    </xdr:from>
    <xdr:to>
      <xdr:col>10</xdr:col>
      <xdr:colOff>496813</xdr:colOff>
      <xdr:row>2</xdr:row>
      <xdr:rowOff>114247</xdr:rowOff>
    </xdr:to>
    <xdr:pic>
      <xdr:nvPicPr>
        <xdr:cNvPr id="7" name="Grafik 6">
          <a:extLst>
            <a:ext uri="{FF2B5EF4-FFF2-40B4-BE49-F238E27FC236}">
              <a16:creationId xmlns:a16="http://schemas.microsoft.com/office/drawing/2014/main" id="{2F132948-D946-0C30-7CDA-2219EC1EA913}"/>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0447242" y="153169"/>
          <a:ext cx="974746" cy="532578"/>
        </a:xfrm>
        <a:prstGeom prst="rect">
          <a:avLst/>
        </a:prstGeom>
      </xdr:spPr>
    </xdr:pic>
    <xdr:clientData/>
  </xdr:twoCellAnchor>
  <xdr:twoCellAnchor editAs="oneCell">
    <xdr:from>
      <xdr:col>7</xdr:col>
      <xdr:colOff>285750</xdr:colOff>
      <xdr:row>0</xdr:row>
      <xdr:rowOff>128184</xdr:rowOff>
    </xdr:from>
    <xdr:to>
      <xdr:col>8</xdr:col>
      <xdr:colOff>476250</xdr:colOff>
      <xdr:row>2</xdr:row>
      <xdr:rowOff>142983</xdr:rowOff>
    </xdr:to>
    <xdr:pic>
      <xdr:nvPicPr>
        <xdr:cNvPr id="9" name="Grafik 8">
          <a:extLst>
            <a:ext uri="{FF2B5EF4-FFF2-40B4-BE49-F238E27FC236}">
              <a16:creationId xmlns:a16="http://schemas.microsoft.com/office/drawing/2014/main" id="{0E2F1667-5FAD-2928-F2E8-071DA1370A7F}"/>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9382125" y="128184"/>
          <a:ext cx="800100" cy="583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200025</xdr:colOff>
      <xdr:row>2</xdr:row>
      <xdr:rowOff>142875</xdr:rowOff>
    </xdr:from>
    <xdr:to>
      <xdr:col>16</xdr:col>
      <xdr:colOff>123825</xdr:colOff>
      <xdr:row>31</xdr:row>
      <xdr:rowOff>95250</xdr:rowOff>
    </xdr:to>
    <xdr:pic>
      <xdr:nvPicPr>
        <xdr:cNvPr id="2" name="Picture 1">
          <a:extLst>
            <a:ext uri="{FF2B5EF4-FFF2-40B4-BE49-F238E27FC236}">
              <a16:creationId xmlns:a16="http://schemas.microsoft.com/office/drawing/2014/main" id="{C28BC8C7-F733-2CB5-783A-EB84DD8A1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71500"/>
          <a:ext cx="9067800" cy="547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304800</xdr:colOff>
      <xdr:row>35</xdr:row>
      <xdr:rowOff>28575</xdr:rowOff>
    </xdr:from>
    <xdr:to>
      <xdr:col>17</xdr:col>
      <xdr:colOff>265113</xdr:colOff>
      <xdr:row>66</xdr:row>
      <xdr:rowOff>152400</xdr:rowOff>
    </xdr:to>
    <xdr:pic>
      <xdr:nvPicPr>
        <xdr:cNvPr id="3" name="Picture 2">
          <a:extLst>
            <a:ext uri="{FF2B5EF4-FFF2-40B4-BE49-F238E27FC236}">
              <a16:creationId xmlns:a16="http://schemas.microsoft.com/office/drawing/2014/main" id="{37B7AFA4-5AEA-097A-6E52-A3DF5DB7EF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6791325"/>
          <a:ext cx="9713913" cy="602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73006</xdr:colOff>
      <xdr:row>22</xdr:row>
      <xdr:rowOff>181088</xdr:rowOff>
    </xdr:from>
    <xdr:to>
      <xdr:col>14</xdr:col>
      <xdr:colOff>248478</xdr:colOff>
      <xdr:row>26</xdr:row>
      <xdr:rowOff>173935</xdr:rowOff>
    </xdr:to>
    <xdr:sp macro="" textlink="">
      <xdr:nvSpPr>
        <xdr:cNvPr id="3" name="TextBox 2">
          <a:extLst>
            <a:ext uri="{FF2B5EF4-FFF2-40B4-BE49-F238E27FC236}">
              <a16:creationId xmlns:a16="http://schemas.microsoft.com/office/drawing/2014/main" id="{9F451C6E-2D33-4696-B354-9EACE4063689}"/>
            </a:ext>
          </a:extLst>
        </xdr:cNvPr>
        <xdr:cNvSpPr txBox="1"/>
      </xdr:nvSpPr>
      <xdr:spPr>
        <a:xfrm>
          <a:off x="73006" y="4372088"/>
          <a:ext cx="8988168" cy="75484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i="0" u="none" strike="noStrike" baseline="0">
              <a:solidFill>
                <a:schemeClr val="dk1"/>
              </a:solidFill>
              <a:latin typeface="Pero" panose="020F0506020203030304" pitchFamily="34" charset="0"/>
              <a:ea typeface="+mn-ea"/>
              <a:cs typeface="+mn-cs"/>
            </a:rPr>
            <a:t>*Methodological rigor: </a:t>
          </a:r>
          <a:endParaRPr lang="en-US" sz="1050" b="0" i="0" u="none" strike="noStrike" baseline="0">
            <a:solidFill>
              <a:schemeClr val="dk1"/>
            </a:solidFill>
            <a:latin typeface="Pero" panose="020F0506020203030304" pitchFamily="34" charset="0"/>
            <a:ea typeface="+mn-ea"/>
            <a:cs typeface="+mn-cs"/>
          </a:endParaRPr>
        </a:p>
        <a:p>
          <a:r>
            <a:rPr lang="en-US" sz="1050" b="0" i="0" baseline="0">
              <a:solidFill>
                <a:schemeClr val="dk1"/>
              </a:solidFill>
              <a:effectLst/>
              <a:latin typeface="Pero" panose="020F0506020203030304" pitchFamily="34" charset="0"/>
              <a:ea typeface="+mn-ea"/>
              <a:cs typeface="+mn-cs"/>
            </a:rPr>
            <a:t>Fair	Design and methods have significant limitations that reduce confidence in causal claims.</a:t>
          </a:r>
          <a:endParaRPr lang="en-US" sz="1050">
            <a:effectLst/>
            <a:latin typeface="Pero" panose="020F0506020203030304" pitchFamily="34" charset="0"/>
          </a:endParaRPr>
        </a:p>
        <a:p>
          <a:r>
            <a:rPr lang="en-US" sz="1050" b="0" i="0" baseline="0">
              <a:solidFill>
                <a:schemeClr val="dk1"/>
              </a:solidFill>
              <a:effectLst/>
              <a:latin typeface="Pero" panose="020F0506020203030304" pitchFamily="34" charset="0"/>
              <a:ea typeface="+mn-ea"/>
              <a:cs typeface="+mn-cs"/>
            </a:rPr>
            <a:t>Good	Design is generally appropriate, with clear and justified sampling and analytical methods, though some limitations remain	</a:t>
          </a:r>
          <a:endParaRPr lang="en-US" sz="1050">
            <a:effectLst/>
            <a:latin typeface="Pero" panose="020F0506020203030304" pitchFamily="34" charset="0"/>
          </a:endParaRPr>
        </a:p>
        <a:p>
          <a:r>
            <a:rPr lang="en-US" sz="1050" b="0" i="0" baseline="0">
              <a:solidFill>
                <a:schemeClr val="dk1"/>
              </a:solidFill>
              <a:effectLst/>
              <a:latin typeface="Pero" panose="020F0506020203030304" pitchFamily="34" charset="0"/>
              <a:ea typeface="+mn-ea"/>
              <a:cs typeface="+mn-cs"/>
            </a:rPr>
            <a:t>Excellent	Rigorous design with well-documented, robust methods that effectively address potential biases and support strong causal inferences.</a:t>
          </a:r>
          <a:endParaRPr lang="en-US" sz="1050">
            <a:effectLst/>
            <a:latin typeface="Pero" panose="020F0506020203030304" pitchFamily="34" charset="0"/>
          </a:endParaRPr>
        </a:p>
      </xdr:txBody>
    </xdr:sp>
    <xdr:clientData/>
  </xdr:twoCellAnchor>
  <xdr:twoCellAnchor>
    <xdr:from>
      <xdr:col>0</xdr:col>
      <xdr:colOff>74544</xdr:colOff>
      <xdr:row>34</xdr:row>
      <xdr:rowOff>81435</xdr:rowOff>
    </xdr:from>
    <xdr:to>
      <xdr:col>14</xdr:col>
      <xdr:colOff>259897</xdr:colOff>
      <xdr:row>42</xdr:row>
      <xdr:rowOff>0</xdr:rowOff>
    </xdr:to>
    <xdr:sp macro="" textlink="">
      <xdr:nvSpPr>
        <xdr:cNvPr id="4" name="TextBox 3">
          <a:extLst>
            <a:ext uri="{FF2B5EF4-FFF2-40B4-BE49-F238E27FC236}">
              <a16:creationId xmlns:a16="http://schemas.microsoft.com/office/drawing/2014/main" id="{B103C9AD-A7A5-4F9D-8C41-3CCAD0AA7C0B}"/>
            </a:ext>
          </a:extLst>
        </xdr:cNvPr>
        <xdr:cNvSpPr txBox="1"/>
      </xdr:nvSpPr>
      <xdr:spPr>
        <a:xfrm>
          <a:off x="74544" y="6558435"/>
          <a:ext cx="8882092" cy="14425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solidFill>
                <a:schemeClr val="dk1"/>
              </a:solidFill>
              <a:effectLst/>
              <a:latin typeface="Pero" panose="020F0506020203030304" pitchFamily="34" charset="0"/>
              <a:ea typeface="+mn-ea"/>
              <a:cs typeface="+mn-cs"/>
            </a:rPr>
            <a:t>*Discount rate</a:t>
          </a:r>
          <a:r>
            <a:rPr lang="en-US" sz="1050">
              <a:solidFill>
                <a:schemeClr val="dk1"/>
              </a:solidFill>
              <a:effectLst/>
              <a:latin typeface="Pero" panose="020F0506020203030304" pitchFamily="34" charset="0"/>
              <a:ea typeface="+mn-ea"/>
              <a:cs typeface="+mn-cs"/>
            </a:rPr>
            <a:t>:</a:t>
          </a:r>
          <a:r>
            <a:rPr lang="en-US" sz="1050" baseline="0">
              <a:solidFill>
                <a:schemeClr val="dk1"/>
              </a:solidFill>
              <a:effectLst/>
              <a:latin typeface="Pero" panose="020F0506020203030304" pitchFamily="34" charset="0"/>
              <a:ea typeface="+mn-ea"/>
              <a:cs typeface="+mn-cs"/>
            </a:rPr>
            <a:t> </a:t>
          </a:r>
          <a:r>
            <a:rPr lang="en-US" sz="1050">
              <a:solidFill>
                <a:schemeClr val="dk1"/>
              </a:solidFill>
              <a:effectLst/>
              <a:latin typeface="Pero" panose="020F0506020203030304" pitchFamily="34" charset="0"/>
              <a:ea typeface="+mn-ea"/>
              <a:cs typeface="+mn-cs"/>
            </a:rPr>
            <a:t>When a program's costs and impacts are distributed across time, it is necessary to discount them back to their present value in the base year of the program to account for an organization's time preference for both costs and benefits. The social opportunity cost of capital (SOC) is used as the standard discount rate in this analysis, in part because the high variation and scarce data on time preference in the developing world makes it impossible to use people's social rate of time preference to establish a standard discount rate. </a:t>
          </a:r>
        </a:p>
        <a:p>
          <a:r>
            <a:rPr lang="en-US" sz="1050">
              <a:solidFill>
                <a:schemeClr val="dk1"/>
              </a:solidFill>
              <a:effectLst/>
              <a:latin typeface="Pero" panose="020F0506020203030304" pitchFamily="34" charset="0"/>
              <a:ea typeface="+mn-ea"/>
              <a:cs typeface="+mn-cs"/>
            </a:rPr>
            <a:t>Looking at the median discount rate, calculated based on the SOC, across countries suggests that anything between 10-12 percent is a reasonable rate for discounting the costs and benefits of rural livelihoods programs in developing countries. We've chosen to set the discount rate to 10 percent to ensure consistency across all programs in the analysis. (For a list of discount rates used by various governments and organizations, see Table 2 of Dhaliwal et al., 2013.)</a:t>
          </a:r>
        </a:p>
        <a:p>
          <a:r>
            <a:rPr lang="en-US" sz="1050">
              <a:solidFill>
                <a:schemeClr val="dk1"/>
              </a:solidFill>
              <a:effectLst/>
              <a:latin typeface="Pero" panose="020F0506020203030304" pitchFamily="34" charset="0"/>
              <a:ea typeface="+mn-ea"/>
              <a:cs typeface="+mn-cs"/>
            </a:rPr>
            <a:t> </a:t>
          </a:r>
        </a:p>
      </xdr:txBody>
    </xdr:sp>
    <xdr:clientData/>
  </xdr:twoCellAnchor>
  <xdr:twoCellAnchor>
    <xdr:from>
      <xdr:col>0</xdr:col>
      <xdr:colOff>118482</xdr:colOff>
      <xdr:row>54</xdr:row>
      <xdr:rowOff>58645</xdr:rowOff>
    </xdr:from>
    <xdr:to>
      <xdr:col>14</xdr:col>
      <xdr:colOff>273326</xdr:colOff>
      <xdr:row>78</xdr:row>
      <xdr:rowOff>173935</xdr:rowOff>
    </xdr:to>
    <xdr:sp macro="" textlink="">
      <xdr:nvSpPr>
        <xdr:cNvPr id="7" name="TextBox 4">
          <a:extLst>
            <a:ext uri="{FF2B5EF4-FFF2-40B4-BE49-F238E27FC236}">
              <a16:creationId xmlns:a16="http://schemas.microsoft.com/office/drawing/2014/main" id="{E19C61C1-5D27-4E76-97EE-778E5A3C95BE}"/>
            </a:ext>
          </a:extLst>
        </xdr:cNvPr>
        <xdr:cNvSpPr txBox="1"/>
      </xdr:nvSpPr>
      <xdr:spPr>
        <a:xfrm>
          <a:off x="118482" y="10345645"/>
          <a:ext cx="8967540" cy="468729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solidFill>
                <a:schemeClr val="dk1"/>
              </a:solidFill>
              <a:effectLst/>
              <a:latin typeface="Pero" panose="020F0506020203030304" pitchFamily="34" charset="0"/>
              <a:ea typeface="+mn-ea"/>
              <a:cs typeface="+mn-cs"/>
            </a:rPr>
            <a:t>*Yield benefit</a:t>
          </a:r>
          <a:r>
            <a:rPr lang="en-US" sz="1050" b="1" baseline="0">
              <a:solidFill>
                <a:schemeClr val="dk1"/>
              </a:solidFill>
              <a:effectLst/>
              <a:latin typeface="Pero" panose="020F0506020203030304" pitchFamily="34" charset="0"/>
              <a:ea typeface="+mn-ea"/>
              <a:cs typeface="+mn-cs"/>
            </a:rPr>
            <a:t> of GAP adoption besides stumping: </a:t>
          </a:r>
          <a:r>
            <a:rPr lang="en-US" sz="1050" b="0" baseline="0">
              <a:solidFill>
                <a:schemeClr val="dk1"/>
              </a:solidFill>
              <a:effectLst/>
              <a:latin typeface="Pero" panose="020F0506020203030304" pitchFamily="34" charset="0"/>
              <a:ea typeface="+mn-ea"/>
              <a:cs typeface="+mn-cs"/>
            </a:rPr>
            <a:t>We have no evidence on the yield effect of the adoption of GAPs other than stumping. The UCAT RCT reports ITT esimates on coffee yield per tree between 4.1% and 10.5% of a training program on regenerative agriculture practices in coffee including rejuvenation in Uganda. We assume that yield effects start one year after the start of programming (as it takes 1 year to cover all training topics).</a:t>
          </a:r>
        </a:p>
        <a:p>
          <a:endParaRPr lang="en-US" sz="1050" b="0" baseline="0">
            <a:solidFill>
              <a:schemeClr val="dk1"/>
            </a:solidFill>
            <a:effectLst/>
            <a:latin typeface="Pero" panose="020F0506020203030304" pitchFamily="34" charset="0"/>
            <a:ea typeface="+mn-ea"/>
            <a:cs typeface="+mn-cs"/>
          </a:endParaRPr>
        </a:p>
        <a:p>
          <a:r>
            <a:rPr lang="en-US" sz="1050" b="1" baseline="0">
              <a:solidFill>
                <a:schemeClr val="dk1"/>
              </a:solidFill>
              <a:effectLst/>
              <a:latin typeface="Pero" panose="020F0506020203030304" pitchFamily="34" charset="0"/>
              <a:ea typeface="+mn-ea"/>
              <a:cs typeface="+mn-cs"/>
            </a:rPr>
            <a:t>*Unstumped yield: </a:t>
          </a:r>
          <a:r>
            <a:rPr lang="en-US" sz="1050" b="0" baseline="0">
              <a:solidFill>
                <a:schemeClr val="dk1"/>
              </a:solidFill>
              <a:effectLst/>
              <a:latin typeface="Pero" panose="020F0506020203030304" pitchFamily="34" charset="0"/>
              <a:ea typeface="+mn-ea"/>
              <a:cs typeface="+mn-cs"/>
            </a:rPr>
            <a:t>The projected yield from TNS is underlying major assumptions that will be verified during a yield study conducted by IFRPI in 2026/2027 harvest season. For example, the average yield per productive tree in Gera and Gomma (C23 cohort) was found to be on average ~0,5 kg which is less than half of the reported 1,1kg in the TNS model.</a:t>
          </a:r>
        </a:p>
        <a:p>
          <a:endParaRPr lang="en-US" sz="1050" b="0" baseline="0">
            <a:solidFill>
              <a:schemeClr val="dk1"/>
            </a:solidFill>
            <a:effectLst/>
            <a:latin typeface="Pero" panose="020F0506020203030304" pitchFamily="34" charset="0"/>
            <a:ea typeface="+mn-ea"/>
            <a:cs typeface="+mn-cs"/>
          </a:endParaRPr>
        </a:p>
        <a:p>
          <a:r>
            <a:rPr lang="en-US" sz="1050" b="1" baseline="0">
              <a:solidFill>
                <a:schemeClr val="dk1"/>
              </a:solidFill>
              <a:effectLst/>
              <a:latin typeface="Pero" panose="020F0506020203030304" pitchFamily="34" charset="0"/>
              <a:ea typeface="+mn-ea"/>
              <a:cs typeface="+mn-cs"/>
            </a:rPr>
            <a:t>*Yield benefit of stumping: </a:t>
          </a:r>
          <a:r>
            <a:rPr lang="en-US" sz="1050" b="0" baseline="0">
              <a:solidFill>
                <a:schemeClr val="dk1"/>
              </a:solidFill>
              <a:effectLst/>
              <a:latin typeface="Pero" panose="020F0506020203030304" pitchFamily="34" charset="0"/>
              <a:ea typeface="+mn-ea"/>
              <a:cs typeface="+mn-cs"/>
            </a:rPr>
            <a:t>For the yield benefit of stumping we follow results from a TNS yield study that compared the yield of unstumped and stumped trees on a small number of demo-plots over time. It is assumed that these effects reflect the yield benefit of stumping plus the adoption of other good agricultural practices. The HWG yield pilot study conducted with Laterite in Sidama during the third harvest after stumping found an unconditional impact of 40% of stumping on coffee yield. After accounting for complementary best practices, tree characteristics and location, coffee trees on stumped plots yield 21-23% more compared to trees on unstumped coffee plots. This is significantly lower than the findings of the TNS yield study. We still rely on the TNS study, as the HWG pliot yield study only covered one point in time. </a:t>
          </a:r>
        </a:p>
        <a:p>
          <a:endParaRPr lang="en-US" sz="1050" b="0" baseline="0">
            <a:solidFill>
              <a:schemeClr val="dk1"/>
            </a:solidFill>
            <a:effectLst/>
            <a:latin typeface="Pero" panose="020F0506020203030304" pitchFamily="34" charset="0"/>
            <a:ea typeface="+mn-ea"/>
            <a:cs typeface="+mn-cs"/>
          </a:endParaRPr>
        </a:p>
        <a:p>
          <a:r>
            <a:rPr lang="en-US" sz="1050" b="1" baseline="0">
              <a:solidFill>
                <a:schemeClr val="dk1"/>
              </a:solidFill>
              <a:effectLst/>
              <a:latin typeface="Pero" panose="020F0506020203030304" pitchFamily="34" charset="0"/>
              <a:ea typeface="+mn-ea"/>
              <a:cs typeface="+mn-cs"/>
            </a:rPr>
            <a:t>*Dynamic yield benefits: </a:t>
          </a:r>
          <a:r>
            <a:rPr lang="en-US" sz="1050" b="0" baseline="0">
              <a:solidFill>
                <a:schemeClr val="dk1"/>
              </a:solidFill>
              <a:effectLst/>
              <a:latin typeface="Pero" panose="020F0506020203030304" pitchFamily="34" charset="0"/>
              <a:ea typeface="+mn-ea"/>
              <a:cs typeface="+mn-cs"/>
            </a:rPr>
            <a:t>The available evaluation data does not allow us to estimate the dynamic effects of the CFC on practice adoption - it is possible that the effects became either stronger or weaker over time. We apply findings from a previous evaluation of TechnoServe's coffee training program in East Africa (IPE Tripe Line, 2017) to model the time path of impact. This allows us to approximate the return on the training over a period of 10 years. The Triple Line evaluation concluded that 63% of the improvement in practice adoption achieved by the end of the training period remained 5 years later. Assuming the decay in farmers' practice adoption is linear implies an annual decay of 7.3% of the initial improvement.</a:t>
          </a:r>
        </a:p>
        <a:p>
          <a:endParaRPr lang="en-US" sz="1050" b="0" baseline="0">
            <a:solidFill>
              <a:schemeClr val="dk1"/>
            </a:solidFill>
            <a:effectLst/>
            <a:latin typeface="Pero" panose="020F05060202030303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050" b="1" baseline="0">
              <a:solidFill>
                <a:schemeClr val="dk1"/>
              </a:solidFill>
              <a:effectLst/>
              <a:latin typeface="Pero" panose="020F0506020203030304" pitchFamily="34" charset="0"/>
              <a:ea typeface="+mn-ea"/>
              <a:cs typeface="+mn-cs"/>
            </a:rPr>
            <a:t>Spillover effects: </a:t>
          </a:r>
          <a:r>
            <a:rPr lang="en-US" sz="1050" b="0" baseline="0">
              <a:solidFill>
                <a:schemeClr val="dk1"/>
              </a:solidFill>
              <a:effectLst/>
              <a:latin typeface="Pero" panose="020F0506020203030304" pitchFamily="34" charset="0"/>
              <a:ea typeface="+mn-ea"/>
              <a:cs typeface="+mn-cs"/>
            </a:rPr>
            <a:t>The Coffee Farm College could lead to positive spillover effects among participating and non-participating households. Participating households may apply their BP knowledge to other crops. Non-participating households may learn about BPs through knowledge sharing and start applying BPs on their (coffee) plots. The presence of the TNS Coffee Farm College can also inflluence local markets and labor demand. There is limited and mixed evidence on the direction and magnitude of spillover effects of agricultural extension programs. An RCT of an TNS agronomy training program among Rwandan coffee farmers finds no evidence of social diffusion of BP knoweldge; instead control households experienced negative spillovers, likely because of competition for scarce inputs, such as inorganic fertilizer and labor (Duflo et al., 2026). Therefore, we do not consider (positive and/or negative) spillover effects in SROI calculation.</a:t>
          </a:r>
        </a:p>
        <a:p>
          <a:endParaRPr lang="en-US" sz="1050" b="1">
            <a:solidFill>
              <a:schemeClr val="dk1"/>
            </a:solidFill>
            <a:effectLst/>
            <a:latin typeface="Pero" panose="020F0506020203030304" pitchFamily="34" charset="0"/>
            <a:ea typeface="+mn-ea"/>
            <a:cs typeface="+mn-cs"/>
          </a:endParaRPr>
        </a:p>
      </xdr:txBody>
    </xdr:sp>
    <xdr:clientData/>
  </xdr:twoCellAnchor>
  <xdr:twoCellAnchor>
    <xdr:from>
      <xdr:col>0</xdr:col>
      <xdr:colOff>77069</xdr:colOff>
      <xdr:row>42</xdr:row>
      <xdr:rowOff>51854</xdr:rowOff>
    </xdr:from>
    <xdr:to>
      <xdr:col>14</xdr:col>
      <xdr:colOff>248478</xdr:colOff>
      <xdr:row>47</xdr:row>
      <xdr:rowOff>56844</xdr:rowOff>
    </xdr:to>
    <xdr:sp macro="" textlink="">
      <xdr:nvSpPr>
        <xdr:cNvPr id="6" name="TextBox 5">
          <a:extLst>
            <a:ext uri="{FF2B5EF4-FFF2-40B4-BE49-F238E27FC236}">
              <a16:creationId xmlns:a16="http://schemas.microsoft.com/office/drawing/2014/main" id="{B0357783-5EFA-49A5-8CC8-C807E8590FA0}"/>
            </a:ext>
          </a:extLst>
        </xdr:cNvPr>
        <xdr:cNvSpPr txBox="1"/>
      </xdr:nvSpPr>
      <xdr:spPr>
        <a:xfrm>
          <a:off x="77069" y="8052854"/>
          <a:ext cx="8868148" cy="95749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solidFill>
                <a:schemeClr val="dk1"/>
              </a:solidFill>
              <a:effectLst/>
              <a:latin typeface="Pero" panose="020F0506020203030304" pitchFamily="34" charset="0"/>
              <a:ea typeface="+mn-ea"/>
              <a:cs typeface="+mn-cs"/>
            </a:rPr>
            <a:t>*Inflation: </a:t>
          </a:r>
          <a:r>
            <a:rPr lang="en-US" sz="1050" b="0">
              <a:solidFill>
                <a:schemeClr val="dk1"/>
              </a:solidFill>
              <a:effectLst/>
              <a:latin typeface="Pero" panose="020F0506020203030304" pitchFamily="34" charset="0"/>
              <a:ea typeface="+mn-ea"/>
              <a:cs typeface="+mn-cs"/>
            </a:rPr>
            <a:t>We present cash flows in real values, deflating coffee prices and labor costs (for the calculation of profits from coffee) as well as project costs back to real value in base year (2021 for C2022 and 2022 for C2023), using average annual LCU inflation rate over time elapsed between base year and the incurrence of benefits/costs. We take the present value of these cash flows and then inflate forward to the year of analysis (2021), using average annual LCU inflation rate over time elapsed between base year and year of analysis. We selected 2021 as year of analysis because it aligns with the latest international poverty line and purchasing power parity (PPP) update (World Bank Group 2025).</a:t>
          </a:r>
        </a:p>
      </xdr:txBody>
    </xdr:sp>
    <xdr:clientData/>
  </xdr:twoCellAnchor>
  <xdr:twoCellAnchor>
    <xdr:from>
      <xdr:col>0</xdr:col>
      <xdr:colOff>86069</xdr:colOff>
      <xdr:row>47</xdr:row>
      <xdr:rowOff>122189</xdr:rowOff>
    </xdr:from>
    <xdr:to>
      <xdr:col>14</xdr:col>
      <xdr:colOff>240196</xdr:colOff>
      <xdr:row>51</xdr:row>
      <xdr:rowOff>91109</xdr:rowOff>
    </xdr:to>
    <xdr:sp macro="" textlink="">
      <xdr:nvSpPr>
        <xdr:cNvPr id="5" name="TextBox 4">
          <a:extLst>
            <a:ext uri="{FF2B5EF4-FFF2-40B4-BE49-F238E27FC236}">
              <a16:creationId xmlns:a16="http://schemas.microsoft.com/office/drawing/2014/main" id="{BDDB169D-346F-47A8-8866-CE9BA3E732DB}"/>
            </a:ext>
          </a:extLst>
        </xdr:cNvPr>
        <xdr:cNvSpPr txBox="1"/>
      </xdr:nvSpPr>
      <xdr:spPr>
        <a:xfrm>
          <a:off x="86069" y="9075689"/>
          <a:ext cx="8966823" cy="7309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baseline="0">
              <a:solidFill>
                <a:schemeClr val="dk1"/>
              </a:solidFill>
              <a:effectLst/>
              <a:latin typeface="Pero" panose="020F0506020203030304" pitchFamily="34" charset="0"/>
              <a:ea typeface="+mn-ea"/>
              <a:cs typeface="+mn-cs"/>
            </a:rPr>
            <a:t>*Non-implementation costs share: </a:t>
          </a:r>
          <a:r>
            <a:rPr lang="en-US" sz="1050" b="0">
              <a:latin typeface="Pero" panose="020F0506020203030304" pitchFamily="34" charset="0"/>
            </a:rPr>
            <a:t>This parameter captures the share of the total project budget allocated to costs not directly related to project implementation — such as administrative overhead, institutional support functions, or organizational indirect costs applied by the implementing organization. </a:t>
          </a:r>
          <a:r>
            <a:rPr lang="en-US" sz="1100" b="0">
              <a:solidFill>
                <a:schemeClr val="dk1"/>
              </a:solidFill>
              <a:effectLst/>
              <a:latin typeface="+mn-lt"/>
              <a:ea typeface="+mn-ea"/>
              <a:cs typeface="+mn-cs"/>
            </a:rPr>
            <a:t>We assume these costs are not directly related to implementing the program and therefore exclude non-implementation/indirect costs from the considered project costs in the base </a:t>
          </a:r>
          <a:r>
            <a:rPr lang="en-US" sz="1050" b="0">
              <a:solidFill>
                <a:schemeClr val="dk1"/>
              </a:solidFill>
              <a:latin typeface="Pero" panose="020F0506020203030304" pitchFamily="34" charset="0"/>
              <a:ea typeface="+mn-ea"/>
              <a:cs typeface="+mn-cs"/>
            </a:rPr>
            <a:t>case</a:t>
          </a:r>
          <a:r>
            <a:rPr lang="en-US" sz="1100" b="0">
              <a:solidFill>
                <a:schemeClr val="dk1"/>
              </a:solidFill>
              <a:effectLst/>
              <a:latin typeface="+mn-lt"/>
              <a:ea typeface="+mn-ea"/>
              <a:cs typeface="+mn-cs"/>
            </a:rPr>
            <a:t>. </a:t>
          </a:r>
          <a:endParaRPr lang="en-US" sz="1050" b="0">
            <a:solidFill>
              <a:schemeClr val="dk1"/>
            </a:solidFill>
            <a:effectLst/>
            <a:latin typeface="Pero" panose="020F0506020203030304" pitchFamily="34" charset="0"/>
            <a:ea typeface="+mn-ea"/>
            <a:cs typeface="+mn-cs"/>
          </a:endParaRPr>
        </a:p>
      </xdr:txBody>
    </xdr:sp>
    <xdr:clientData/>
  </xdr:twoCellAnchor>
  <xdr:twoCellAnchor>
    <xdr:from>
      <xdr:col>0</xdr:col>
      <xdr:colOff>72081</xdr:colOff>
      <xdr:row>29</xdr:row>
      <xdr:rowOff>48955</xdr:rowOff>
    </xdr:from>
    <xdr:to>
      <xdr:col>14</xdr:col>
      <xdr:colOff>256761</xdr:colOff>
      <xdr:row>34</xdr:row>
      <xdr:rowOff>14031</xdr:rowOff>
    </xdr:to>
    <xdr:sp macro="" textlink="">
      <xdr:nvSpPr>
        <xdr:cNvPr id="8" name="TextBox 1">
          <a:extLst>
            <a:ext uri="{FF2B5EF4-FFF2-40B4-BE49-F238E27FC236}">
              <a16:creationId xmlns:a16="http://schemas.microsoft.com/office/drawing/2014/main" id="{83341F23-3FB6-442B-A713-A81A7740E6A3}"/>
            </a:ext>
          </a:extLst>
        </xdr:cNvPr>
        <xdr:cNvSpPr txBox="1"/>
      </xdr:nvSpPr>
      <xdr:spPr>
        <a:xfrm>
          <a:off x="72081" y="5573455"/>
          <a:ext cx="8881419" cy="91757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i="0" u="none" strike="noStrike" baseline="0">
              <a:solidFill>
                <a:schemeClr val="dk1"/>
              </a:solidFill>
              <a:latin typeface="Pero" panose="020F0506020203030304" pitchFamily="34" charset="0"/>
              <a:ea typeface="+mn-ea"/>
              <a:cs typeface="+mn-cs"/>
            </a:rPr>
            <a:t>*Impact measure: </a:t>
          </a:r>
          <a:r>
            <a:rPr lang="en-US" sz="1050" b="0" i="0" u="none" strike="noStrike" baseline="0">
              <a:solidFill>
                <a:schemeClr val="dk1"/>
              </a:solidFill>
              <a:latin typeface="Pero" panose="020F0506020203030304" pitchFamily="34" charset="0"/>
              <a:ea typeface="+mn-ea"/>
              <a:cs typeface="+mn-cs"/>
            </a:rPr>
            <a:t>The evaluation does not provide data on total household income. Instead, it focuses on the intermediate outcome of adoption status of regenerative agricultural practices and models income effects. We assume yield effects of practice adoption to calcuate coffee revenues, costs associated with practice adoption to calculate coffee profits and that changes in practices adoption do not affect other income-gernerating activities of the household, so that a change in coffee profits translates directly into an equal change in total household income. </a:t>
          </a:r>
        </a:p>
      </xdr:txBody>
    </xdr:sp>
    <xdr:clientData/>
  </xdr:twoCellAnchor>
  <xdr:twoCellAnchor>
    <xdr:from>
      <xdr:col>0</xdr:col>
      <xdr:colOff>64605</xdr:colOff>
      <xdr:row>0</xdr:row>
      <xdr:rowOff>68124</xdr:rowOff>
    </xdr:from>
    <xdr:to>
      <xdr:col>14</xdr:col>
      <xdr:colOff>264630</xdr:colOff>
      <xdr:row>22</xdr:row>
      <xdr:rowOff>140804</xdr:rowOff>
    </xdr:to>
    <xdr:sp macro="" textlink="">
      <xdr:nvSpPr>
        <xdr:cNvPr id="9" name="TextBox 2">
          <a:extLst>
            <a:ext uri="{FF2B5EF4-FFF2-40B4-BE49-F238E27FC236}">
              <a16:creationId xmlns:a16="http://schemas.microsoft.com/office/drawing/2014/main" id="{9F63BCD0-F731-47B0-B69B-6750AEF39D2E}"/>
            </a:ext>
          </a:extLst>
        </xdr:cNvPr>
        <xdr:cNvSpPr txBox="1"/>
      </xdr:nvSpPr>
      <xdr:spPr>
        <a:xfrm>
          <a:off x="64605" y="68124"/>
          <a:ext cx="8896764" cy="426368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b="1" i="0" u="none" strike="noStrike" baseline="0">
              <a:solidFill>
                <a:schemeClr val="dk1"/>
              </a:solidFill>
              <a:latin typeface="Pero" panose="020F0506020203030304" pitchFamily="34" charset="0"/>
              <a:ea typeface="+mn-ea"/>
              <a:cs typeface="+mn-cs"/>
            </a:rPr>
            <a:t>*Level of certainty (lowest of the four dimensions evidence strengths, precision of impact estimates, assumptions, and sensitivity): </a:t>
          </a:r>
          <a:endParaRPr lang="en-US" sz="1050" b="0" i="0" u="none" strike="noStrike" baseline="0">
            <a:solidFill>
              <a:schemeClr val="dk1"/>
            </a:solidFill>
            <a:latin typeface="Pero" panose="020F0506020203030304" pitchFamily="34" charset="0"/>
            <a:ea typeface="+mn-ea"/>
            <a:cs typeface="+mn-cs"/>
          </a:endParaRPr>
        </a:p>
        <a:p>
          <a:pPr algn="l"/>
          <a:r>
            <a:rPr lang="en-US" sz="1050" b="0" i="0" u="none" strike="noStrike" baseline="0">
              <a:solidFill>
                <a:schemeClr val="dk1"/>
              </a:solidFill>
              <a:latin typeface="Pero" panose="020F0506020203030304" pitchFamily="34" charset="0"/>
              <a:ea typeface="+mn-ea"/>
              <a:cs typeface="+mn-cs"/>
            </a:rPr>
            <a:t>Low	</a:t>
          </a:r>
          <a:r>
            <a:rPr lang="en-US" sz="1050" b="0" i="0" u="sng" strike="noStrike" baseline="0">
              <a:solidFill>
                <a:schemeClr val="dk1"/>
              </a:solidFill>
              <a:latin typeface="Pero" panose="020F0506020203030304" pitchFamily="34" charset="0"/>
              <a:ea typeface="+mn-ea"/>
              <a:cs typeface="+mn-cs"/>
            </a:rPr>
            <a:t>Evidence strength</a:t>
          </a:r>
          <a:r>
            <a:rPr lang="en-US" sz="1050" b="0" i="0" u="none" strike="noStrike" baseline="0">
              <a:solidFill>
                <a:schemeClr val="dk1"/>
              </a:solidFill>
              <a:latin typeface="Pero" panose="020F0506020203030304" pitchFamily="34" charset="0"/>
              <a:ea typeface="+mn-ea"/>
              <a:cs typeface="+mn-cs"/>
            </a:rPr>
            <a:t>: No direct measurement of household income or consumption expenditure. Income effects modeled from 	intermediate outcomes. </a:t>
          </a:r>
        </a:p>
        <a:p>
          <a:pPr algn="l"/>
          <a:r>
            <a:rPr lang="en-US" sz="1050" b="0" i="0" u="none" strike="noStrike" baseline="0">
              <a:solidFill>
                <a:schemeClr val="dk1"/>
              </a:solidFill>
              <a:latin typeface="Pero" panose="020F0506020203030304" pitchFamily="34" charset="0"/>
              <a:ea typeface="+mn-ea"/>
              <a:cs typeface="+mn-cs"/>
            </a:rPr>
            <a:t>	Weak evaluation design (observational, no counterfactual; small or non-representative samples). </a:t>
          </a:r>
        </a:p>
        <a:p>
          <a:pPr algn="l"/>
          <a:r>
            <a:rPr lang="en-US" sz="1050" b="0" i="0" u="none" strike="noStrike" baseline="0">
              <a:solidFill>
                <a:schemeClr val="dk1"/>
              </a:solidFill>
              <a:latin typeface="Pero" panose="020F0506020203030304" pitchFamily="34" charset="0"/>
              <a:ea typeface="+mn-ea"/>
              <a:cs typeface="+mn-cs"/>
            </a:rPr>
            <a:t>	Impact/outcome estimates from very different contexts (low generalizability).</a:t>
          </a:r>
        </a:p>
        <a:p>
          <a:pPr algn="l"/>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Precision of impact estimates</a:t>
          </a:r>
          <a:r>
            <a:rPr lang="en-US" sz="1050" b="0" i="0" u="none" strike="noStrike" baseline="0">
              <a:solidFill>
                <a:schemeClr val="dk1"/>
              </a:solidFill>
              <a:latin typeface="Pero" panose="020F0506020203030304" pitchFamily="34" charset="0"/>
              <a:ea typeface="+mn-ea"/>
              <a:cs typeface="+mn-cs"/>
            </a:rPr>
            <a:t>: Confidence interval (CI) width &gt; 60% of point estimate or no CI reported at all. Point estimates not 	statistically significant.</a:t>
          </a:r>
        </a:p>
        <a:p>
          <a:pPr algn="l"/>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Assumptions</a:t>
          </a:r>
          <a:r>
            <a:rPr lang="en-US" sz="1050" b="0" i="0" u="none" strike="noStrike" baseline="0">
              <a:solidFill>
                <a:schemeClr val="dk1"/>
              </a:solidFill>
              <a:latin typeface="Pero" panose="020F0506020203030304" pitchFamily="34" charset="0"/>
              <a:ea typeface="+mn-ea"/>
              <a:cs typeface="+mn-cs"/>
            </a:rPr>
            <a:t>: Multiple key assumptions with high uncertainty (best guess).</a:t>
          </a:r>
        </a:p>
        <a:p>
          <a:pPr algn="l"/>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Sensitivity</a:t>
          </a:r>
          <a:r>
            <a:rPr lang="en-US" sz="1050" b="0" i="0" u="none" strike="noStrike" baseline="0">
              <a:solidFill>
                <a:schemeClr val="dk1"/>
              </a:solidFill>
              <a:latin typeface="Pero" panose="020F0506020203030304" pitchFamily="34" charset="0"/>
              <a:ea typeface="+mn-ea"/>
              <a:cs typeface="+mn-cs"/>
            </a:rPr>
            <a:t>: SROI values highly sensitive to key uncertain parameters. Small or plaussible variations (e.g. +/- 10-20%) in key 	parameters lead to large changes in SROI values or even a change in sign</a:t>
          </a:r>
        </a:p>
        <a:p>
          <a:pPr algn="l"/>
          <a:r>
            <a:rPr lang="en-US" sz="1050" b="0" i="0" u="none" strike="noStrike" baseline="0">
              <a:solidFill>
                <a:schemeClr val="dk1"/>
              </a:solidFill>
              <a:latin typeface="Pero" panose="020F0506020203030304" pitchFamily="34" charset="0"/>
              <a:ea typeface="+mn-ea"/>
              <a:cs typeface="+mn-cs"/>
            </a:rPr>
            <a:t>Medium	</a:t>
          </a:r>
          <a:r>
            <a:rPr lang="en-US" sz="1050" b="0" i="0" u="sng" strike="noStrike" baseline="0">
              <a:solidFill>
                <a:schemeClr val="dk1"/>
              </a:solidFill>
              <a:latin typeface="Pero" panose="020F0506020203030304" pitchFamily="34" charset="0"/>
              <a:ea typeface="+mn-ea"/>
              <a:cs typeface="+mn-cs"/>
            </a:rPr>
            <a:t>Evidence strength</a:t>
          </a:r>
          <a:r>
            <a:rPr lang="en-US" sz="1050" b="0" i="0" u="none" strike="noStrike" baseline="0">
              <a:solidFill>
                <a:schemeClr val="dk1"/>
              </a:solidFill>
              <a:latin typeface="Pero" panose="020F0506020203030304" pitchFamily="34" charset="0"/>
              <a:ea typeface="+mn-ea"/>
              <a:cs typeface="+mn-cs"/>
            </a:rPr>
            <a:t>: Impact estimates based on self-reported income or validated proxy measures. </a:t>
          </a:r>
        </a:p>
        <a:p>
          <a:pPr algn="l"/>
          <a:r>
            <a:rPr lang="en-US" sz="1050" b="0" i="0" u="none" strike="noStrike" baseline="0">
              <a:solidFill>
                <a:schemeClr val="dk1"/>
              </a:solidFill>
              <a:latin typeface="Pero" panose="020F0506020203030304" pitchFamily="34" charset="0"/>
              <a:ea typeface="+mn-ea"/>
              <a:cs typeface="+mn-cs"/>
            </a:rPr>
            <a:t>	Observational or quasi-experimental evaluation design with some attempt at causal inference.</a:t>
          </a:r>
          <a:br>
            <a:rPr lang="en-US" sz="1050" b="0" i="0" u="none" strike="noStrike" baseline="0">
              <a:solidFill>
                <a:schemeClr val="dk1"/>
              </a:solidFill>
              <a:latin typeface="Pero" panose="020F0506020203030304" pitchFamily="34" charset="0"/>
              <a:ea typeface="+mn-ea"/>
              <a:cs typeface="+mn-cs"/>
            </a:rPr>
          </a:br>
          <a:r>
            <a:rPr lang="en-US" sz="1050" b="0" i="0" u="none" strike="noStrike" baseline="0">
              <a:solidFill>
                <a:schemeClr val="dk1"/>
              </a:solidFill>
              <a:latin typeface="Pero" panose="020F0506020203030304" pitchFamily="34" charset="0"/>
              <a:ea typeface="+mn-ea"/>
              <a:cs typeface="+mn-cs"/>
            </a:rPr>
            <a:t>	Impact estimates from similar contexts or adapted with reasoning.</a:t>
          </a:r>
        </a:p>
        <a:p>
          <a:pPr algn="l"/>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Precision of impact estimates</a:t>
          </a:r>
          <a:r>
            <a:rPr lang="en-US" sz="1050" b="0" i="0" u="none" strike="noStrike" baseline="0">
              <a:solidFill>
                <a:schemeClr val="dk1"/>
              </a:solidFill>
              <a:latin typeface="Pero" panose="020F0506020203030304" pitchFamily="34" charset="0"/>
              <a:ea typeface="+mn-ea"/>
              <a:cs typeface="+mn-cs"/>
            </a:rPr>
            <a:t>: Moderately wide CI (CI width 30-60%). Borderline statistical significance of impact estimates.</a:t>
          </a:r>
        </a:p>
        <a:p>
          <a:pPr algn="l"/>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Assumptions</a:t>
          </a:r>
          <a:r>
            <a:rPr lang="en-US" sz="1050" b="0" i="0" u="none" strike="noStrike" baseline="0">
              <a:solidFill>
                <a:schemeClr val="dk1"/>
              </a:solidFill>
              <a:latin typeface="Pero" panose="020F0506020203030304" pitchFamily="34" charset="0"/>
              <a:ea typeface="+mn-ea"/>
              <a:cs typeface="+mn-cs"/>
            </a:rPr>
            <a:t>: Some substantiated assumptions (with some form of support based on available evidence or logical reasoning). 	</a:t>
          </a:r>
        </a:p>
        <a:p>
          <a:pPr algn="l"/>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Sensitivity</a:t>
          </a:r>
          <a:r>
            <a:rPr lang="en-US" sz="1050" b="0" i="0" u="none" strike="noStrike" baseline="0">
              <a:solidFill>
                <a:schemeClr val="dk1"/>
              </a:solidFill>
              <a:latin typeface="Pero" panose="020F0506020203030304" pitchFamily="34" charset="0"/>
              <a:ea typeface="+mn-ea"/>
              <a:cs typeface="+mn-cs"/>
            </a:rPr>
            <a:t>: SROI values are moderately sensitive to key parameters. Reasonable variation in inputs leads to noticeable but not decision-	changing shifts in ROI.</a:t>
          </a:r>
        </a:p>
        <a:p>
          <a:pPr algn="l"/>
          <a:r>
            <a:rPr lang="en-US" sz="1050" b="0" i="0" u="none" strike="noStrike" baseline="0">
              <a:solidFill>
                <a:schemeClr val="dk1"/>
              </a:solidFill>
              <a:latin typeface="Pero" panose="020F0506020203030304" pitchFamily="34" charset="0"/>
              <a:ea typeface="+mn-ea"/>
              <a:cs typeface="+mn-cs"/>
            </a:rPr>
            <a:t>High	</a:t>
          </a:r>
          <a:r>
            <a:rPr lang="en-US" sz="1050" b="0" i="0" u="sng" strike="noStrike" baseline="0">
              <a:solidFill>
                <a:schemeClr val="dk1"/>
              </a:solidFill>
              <a:latin typeface="Pero" panose="020F0506020203030304" pitchFamily="34" charset="0"/>
              <a:ea typeface="+mn-ea"/>
              <a:cs typeface="+mn-cs"/>
            </a:rPr>
            <a:t>Evidence strength</a:t>
          </a:r>
          <a:r>
            <a:rPr lang="en-US" sz="1050" b="0" i="0" u="none" strike="noStrike" baseline="0">
              <a:solidFill>
                <a:schemeClr val="dk1"/>
              </a:solidFill>
              <a:latin typeface="Pero" panose="020F0506020203030304" pitchFamily="34" charset="0"/>
              <a:ea typeface="+mn-ea"/>
              <a:cs typeface="+mn-cs"/>
            </a:rPr>
            <a:t>: Direct measurement of household consumption expenditure. </a:t>
          </a:r>
          <a:br>
            <a:rPr lang="en-US" sz="1050" b="0" i="0" u="none" strike="noStrike" baseline="0">
              <a:solidFill>
                <a:schemeClr val="dk1"/>
              </a:solidFill>
              <a:latin typeface="Pero" panose="020F0506020203030304" pitchFamily="34" charset="0"/>
              <a:ea typeface="+mn-ea"/>
              <a:cs typeface="+mn-cs"/>
            </a:rPr>
          </a:br>
          <a:r>
            <a:rPr lang="en-US" sz="1050" b="0" i="0" u="none" strike="noStrike" baseline="0">
              <a:solidFill>
                <a:schemeClr val="dk1"/>
              </a:solidFill>
              <a:latin typeface="Pero" panose="020F0506020203030304" pitchFamily="34" charset="0"/>
              <a:ea typeface="+mn-ea"/>
              <a:cs typeface="+mn-cs"/>
            </a:rPr>
            <a:t>	Rigorous experimental/quasi-experimental design with strong causal identification.</a:t>
          </a:r>
          <a:br>
            <a:rPr lang="en-US" sz="1050" b="0" i="0" u="none" strike="noStrike" baseline="0">
              <a:solidFill>
                <a:schemeClr val="dk1"/>
              </a:solidFill>
              <a:latin typeface="Pero" panose="020F0506020203030304" pitchFamily="34" charset="0"/>
              <a:ea typeface="+mn-ea"/>
              <a:cs typeface="+mn-cs"/>
            </a:rPr>
          </a:br>
          <a:r>
            <a:rPr lang="en-US" sz="1050" b="0" i="0" u="none" strike="noStrike" baseline="0">
              <a:solidFill>
                <a:schemeClr val="dk1"/>
              </a:solidFill>
              <a:latin typeface="Pero" panose="020F0506020203030304" pitchFamily="34" charset="0"/>
              <a:ea typeface="+mn-ea"/>
              <a:cs typeface="+mn-cs"/>
            </a:rPr>
            <a:t>	Impact estimates from coffee-growing households in East Africa or validated external validity.</a:t>
          </a:r>
        </a:p>
        <a:p>
          <a:pPr algn="l"/>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Precision of impact estimates</a:t>
          </a:r>
          <a:r>
            <a:rPr lang="en-US" sz="1050" b="0" i="0" u="none" strike="noStrike" baseline="0">
              <a:solidFill>
                <a:schemeClr val="dk1"/>
              </a:solidFill>
              <a:latin typeface="Pero" panose="020F0506020203030304" pitchFamily="34" charset="0"/>
              <a:ea typeface="+mn-ea"/>
              <a:cs typeface="+mn-cs"/>
            </a:rPr>
            <a:t>: Income estimates significant at 5% (p&lt;0.05) with narrow confidence intervals (i.e., CI width &lt; 31% of the 	point estimate).</a:t>
          </a:r>
        </a:p>
        <a:p>
          <a:pPr algn="l"/>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Assumptions</a:t>
          </a:r>
          <a:r>
            <a:rPr lang="en-US" sz="1050" b="0" i="0" u="none" strike="noStrike" baseline="0">
              <a:solidFill>
                <a:schemeClr val="dk1"/>
              </a:solidFill>
              <a:latin typeface="Pero" panose="020F0506020203030304" pitchFamily="34" charset="0"/>
              <a:ea typeface="+mn-ea"/>
              <a:cs typeface="+mn-cs"/>
            </a:rPr>
            <a:t>: All key assumptions are empirically grounded or sensitivity-tested.</a:t>
          </a:r>
        </a:p>
        <a:p>
          <a:pPr algn="l"/>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Sensitivity</a:t>
          </a:r>
          <a:r>
            <a:rPr lang="en-US" sz="1050" b="0" i="0" u="none" strike="noStrike" baseline="0">
              <a:solidFill>
                <a:schemeClr val="dk1"/>
              </a:solidFill>
              <a:latin typeface="Pero" panose="020F0506020203030304" pitchFamily="34" charset="0"/>
              <a:ea typeface="+mn-ea"/>
              <a:cs typeface="+mn-cs"/>
            </a:rPr>
            <a:t>: SROI values are robust to sensitivity analysis. Changes in inputs lead to only modest changes in SROI values, and conclusions 	remain consistent.</a:t>
          </a:r>
        </a:p>
      </xdr:txBody>
    </xdr:sp>
    <xdr:clientData/>
  </xdr:twoCellAnchor>
</xdr:wsDr>
</file>

<file path=xl/persons/person.xml><?xml version="1.0" encoding="utf-8"?>
<personList xmlns="http://schemas.microsoft.com/office/spreadsheetml/2018/threadedcomments" xmlns:x="http://schemas.openxmlformats.org/spreadsheetml/2006/main">
  <person displayName="Gutiérrez, Marlene" id="{2553C6AA-EBD4-495E-AC20-95B3AB0088D0}" userId="S::mgutierrez@herewegrow.org::2654acc4-f93b-4a61-a09f-21503935608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5" dT="2026-06-08T12:29:21.09" personId="{2553C6AA-EBD4-495E-AC20-95B3AB0088D0}" id="{5FD732D3-3776-46EA-87F6-875ACF1A08CA}">
    <text>50% Yield benefit of stumping (assumption realization rate of TNS model)  ; -10% Average Coffee Price Change</text>
  </threadedComment>
  <threadedComment ref="B26" dT="2026-06-08T12:29:37.15" personId="{2553C6AA-EBD4-495E-AC20-95B3AB0088D0}" id="{BB4E4352-38CB-41D3-81A3-1EF11930F84A}">
    <text>100% Yield benefit of stumping (assumption realization rate of TNS model) ; +10% Average Coffee Price Change</text>
  </threadedComment>
</ThreadedComments>
</file>

<file path=xl/threadedComments/threadedComment2.xml><?xml version="1.0" encoding="utf-8"?>
<ThreadedComments xmlns="http://schemas.microsoft.com/office/spreadsheetml/2018/threadedcomments" xmlns:x="http://schemas.openxmlformats.org/spreadsheetml/2006/main">
  <threadedComment ref="C21" dT="2026-06-08T08:11:04.66" personId="{2553C6AA-EBD4-495E-AC20-95B3AB0088D0}" id="{52E57845-DDC4-4AA1-A1FC-490F7B5FD7F3}">
    <text>TNS qualitative observtion and interviews during field visits</text>
  </threadedComment>
  <threadedComment ref="G25" dT="2026-05-13T15:31:08.98" personId="{2553C6AA-EBD4-495E-AC20-95B3AB0088D0}" id="{3F12887C-B7B5-43B4-BDDE-6B60BA580D61}">
    <text>For rates after 2022, we take the 5-year average daily labor rate from 2018-2022.</text>
  </threadedComment>
  <threadedComment ref="C26" dT="2026-05-13T15:25:33.80" personId="{2553C6AA-EBD4-495E-AC20-95B3AB0088D0}" id="{773247EE-DC16-4650-AC3E-2655A12E4D70}">
    <text>2020: C2019 Endline (p. 51)</text>
  </threadedComment>
  <threadedComment ref="D26" dT="2026-05-13T15:25:46.84" personId="{2553C6AA-EBD4-495E-AC20-95B3AB0088D0}" id="{4916FD8A-A512-4E97-97F4-F896AE75CC51}">
    <text>2021: average 2020-2022</text>
  </threadedComment>
  <threadedComment ref="E26" dT="2026-05-13T15:25:58.36" personId="{2553C6AA-EBD4-495E-AC20-95B3AB0088D0}" id="{734949D7-C4C5-45D6-8B14-617C25CE70BB}">
    <text>2022: C2020 Endline (p.34)</text>
  </threadedComment>
  <threadedComment ref="F26" dT="2026-05-13T15:32:11.72" personId="{2553C6AA-EBD4-495E-AC20-95B3AB0088D0}" id="{C679050E-33B6-4444-A977-8B4C3CEE62CC}">
    <text xml:space="preserve">TNS JCP C22 Endline own calculation: mean daily wage rate for weeding
</text>
  </threadedComment>
  <threadedComment ref="H37" dT="2026-05-13T15:13:44.59" personId="{2553C6AA-EBD4-495E-AC20-95B3AB0088D0}" id="{E947B302-AD14-4A3E-A5A2-DE2EADC87099}">
    <text>For prices after 2025 we take the 5-year average coffee price from 2021-2025.</text>
  </threadedComment>
  <threadedComment ref="C38" dT="2026-05-13T15:12:28.13" personId="{2553C6AA-EBD4-495E-AC20-95B3AB0088D0}" id="{E9FDF798-F5FB-45B4-881B-F94F14785567}">
    <text xml:space="preserve"> 2021: C022 Baseline (p.47) </text>
  </threadedComment>
  <threadedComment ref="D38" dT="2026-05-13T15:12:44.92" personId="{2553C6AA-EBD4-495E-AC20-95B3AB0088D0}" id="{A43A194B-A24D-41A3-BC2D-A9DA20F2958B}">
    <text xml:space="preserve"> C2023 Baseline (p. ii)</text>
  </threadedComment>
  <threadedComment ref="E38" dT="2026-05-13T15:13:01.23" personId="{2553C6AA-EBD4-495E-AC20-95B3AB0088D0}" id="{5CCE1312-B902-48B0-B1A0-D5423882E54E}">
    <text>2023: EL C2022</text>
  </threadedComment>
  <threadedComment ref="F38" dT="2026-05-13T15:13:12.27" personId="{2553C6AA-EBD4-495E-AC20-95B3AB0088D0}" id="{7BAA60E4-F3C0-434C-B00B-2719307C20FA}">
    <text xml:space="preserve">Technoserve own data provided from Jimma region
</text>
  </threadedComment>
  <threadedComment ref="G38" dT="2026-05-13T15:13:26.75" personId="{2553C6AA-EBD4-495E-AC20-95B3AB0088D0}" id="{FA989498-E2E8-4A17-A488-18ACC7D11863}">
    <text>Zonal Agriculture (Department of Market Linkage) and the Zonal Trade Office</text>
  </threadedComment>
  <threadedComment ref="G38" dT="2026-06-08T08:14:36.18" personId="{2553C6AA-EBD4-495E-AC20-95B3AB0088D0}" id="{2E30645E-E515-4B78-AC31-E6760DBF77BE}" parentId="{FA989498-E2E8-4A17-A488-18ACC7D11863}">
    <text>To be updated with evaluation data</text>
  </threadedComment>
</ThreadedComments>
</file>

<file path=xl/threadedComments/threadedComment3.xml><?xml version="1.0" encoding="utf-8"?>
<ThreadedComments xmlns="http://schemas.microsoft.com/office/spreadsheetml/2018/threadedcomments" xmlns:x="http://schemas.openxmlformats.org/spreadsheetml/2006/main">
  <threadedComment ref="B11" dT="2026-06-08T08:10:07.68" personId="{2553C6AA-EBD4-495E-AC20-95B3AB0088D0}" id="{C95775DF-E7C6-4D96-AFF3-E0D79DCACE8E}">
    <text xml:space="preserve">The assumption realization rate indicates how much of the TNS model's projected value is reflected in observed field data. A rate of 100% means field outcomes fully match the original model assumptions; lower rates indicate a gap between projected and observed values.
We test yield assumptions as the evaluation data consistently shows lower yields than the TNS model projections, we apply a corresponding assumption realization rate to adjust the SROI calculation accordingly. This allows us to assess how sensitive the overall return estimate is to the accuracy of underlying agronomic assumptions.
</text>
  </threadedComment>
  <threadedComment ref="C45" dT="2025-07-03T08:34:55.53" personId="{2553C6AA-EBD4-495E-AC20-95B3AB0088D0}" id="{091E9335-EEC7-4E61-8429-F70C588A699A}">
    <text>Following UCAT, we assume a linear decay in farmers' practice adoption by 7.3% of the initial improvement per year; Share of HH adopting additional 2 BP = 34% 
Endline C22, p. 38</text>
  </threadedComment>
  <threadedComment ref="C55" dT="2025-07-03T08:34:55.53" personId="{2553C6AA-EBD4-495E-AC20-95B3AB0088D0}" id="{139F4E7C-E06E-445B-B894-0054E7D50D3C}">
    <text>Following UCAT, we assume a linear decay in farmers' practice adoption by 7.3% of the initial improvement per year; Share of HH adopting additional 2 BP = 34% 
Endline C22, p. 38</text>
  </threadedComment>
  <threadedComment ref="B74" dT="2026-05-13T15:38:51.69" personId="{2553C6AA-EBD4-495E-AC20-95B3AB0088D0}" id="{3CA3B62E-159B-41F7-B725-A6F0E063457E}">
    <text>CURRENTLY CONSIDERING SAME IMPACT AS C22 for GAP adoption, honey income and CWS impact</text>
  </threadedComment>
  <threadedComment ref="E85" dT="2025-08-13T10:21:09.35" personId="{2553C6AA-EBD4-495E-AC20-95B3AB0088D0}" id="{3FFD43D1-4214-43D4-AE83-D6FDDB7637F4}">
    <text>From Technoserve Stumping Verification Report</text>
  </threadedComment>
  <threadedComment ref="C137" dT="2026-02-04T14:00:55.68" personId="{2553C6AA-EBD4-495E-AC20-95B3AB0088D0}" id="{B2DC8CE6-344E-4700-B86E-34BBF3158FE2}">
    <text>If median annual household income is used the relative increase in household income is ~ 15%; Consumption is used as the primary benchmark as it better reflects living standards and is less sensitive to income underreporting. Income-based ratios are shown for completeness.</text>
  </threadedComment>
  <threadedComment ref="E166" dT="2026-04-24T12:22:12.09" personId="{2553C6AA-EBD4-495E-AC20-95B3AB0088D0}" id="{52E00D29-78F4-4698-A5AE-32B33A39839B}">
    <text>The TNS03 Budget includes 15% indirect costs</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www.ifpri.org/" TargetMode="External"/><Relationship Id="rId7" Type="http://schemas.openxmlformats.org/officeDocument/2006/relationships/comments" Target="../comments1.xml"/><Relationship Id="rId2" Type="http://schemas.openxmlformats.org/officeDocument/2006/relationships/hyperlink" Target="https://www.c4ed.org/" TargetMode="External"/><Relationship Id="rId1" Type="http://schemas.openxmlformats.org/officeDocument/2006/relationships/hyperlink" Target="https://www.technoserve.org/"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technoserve.org/wp-content/uploads/2017/04/triple-line-evaluation-of-the-coffee-initiative.pdf" TargetMode="External"/><Relationship Id="rId7" Type="http://schemas.microsoft.com/office/2017/10/relationships/threadedComment" Target="../threadedComments/threadedComment2.xml"/><Relationship Id="rId2" Type="http://schemas.openxmlformats.org/officeDocument/2006/relationships/hyperlink" Target="https://www.imf.org/en/Publications/WEO/weo-database/2025/april/weo-report?c=644,&amp;s=NGDP_D,&amp;sy=2017&amp;ey=2030&amp;ssm=0&amp;scsm=1&amp;scc=0&amp;ssd=1&amp;ssc=0&amp;sic=0&amp;sort=country&amp;ds=.&amp;br=1" TargetMode="External"/><Relationship Id="rId1" Type="http://schemas.openxmlformats.org/officeDocument/2006/relationships/hyperlink" Target="https://www.exchange-rates.org/exchange-rate-history/etb-eur-2021"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www.herewegrow.org/wp-content/uploads/2026/01/HereWeGrow-IFPRI-JCP-C2022_Endline-Report_2025.pdf" TargetMode="External"/><Relationship Id="rId7" Type="http://schemas.openxmlformats.org/officeDocument/2006/relationships/vmlDrawing" Target="../drawings/vmlDrawing3.vml"/><Relationship Id="rId2" Type="http://schemas.openxmlformats.org/officeDocument/2006/relationships/hyperlink" Target="https://www.herewegrow.org/wp-content/uploads/2026/01/HereWeGrow-IFPRI-JCP-C2022_Baseline-Report_2023.pdf" TargetMode="External"/><Relationship Id="rId1" Type="http://schemas.openxmlformats.org/officeDocument/2006/relationships/hyperlink" Target="https://www.herewegrow.org/wp-content/uploads/2026/04/HereWeGrow_IFPRI_Digital-Green_Baseline-Report_2024.pdf" TargetMode="External"/><Relationship Id="rId6" Type="http://schemas.openxmlformats.org/officeDocument/2006/relationships/printerSettings" Target="../printerSettings/printerSettings3.bin"/><Relationship Id="rId5" Type="http://schemas.openxmlformats.org/officeDocument/2006/relationships/hyperlink" Target="https://www.herewegrow.org/wp-content/uploads/2026/01/HereWeGrow-C4ED-JCP-C2023_Baseline-Report_2024.pdf" TargetMode="External"/><Relationship Id="rId4" Type="http://schemas.openxmlformats.org/officeDocument/2006/relationships/hyperlink" Target="https://www.herewegrow.org/wp-content/uploads/2026/01/HereWeGrow-C4ED-JCP-C2023_Baseline-Report_2024.pdf" TargetMode="External"/><Relationship Id="rId9"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9730-FD73-4A62-978B-BFD8DB0AECF7}">
  <dimension ref="A1:L84"/>
  <sheetViews>
    <sheetView showGridLines="0" topLeftCell="A49" zoomScaleNormal="100" workbookViewId="0">
      <selection activeCell="C24" sqref="C24"/>
    </sheetView>
  </sheetViews>
  <sheetFormatPr defaultColWidth="9.42578125" defaultRowHeight="14.45"/>
  <cols>
    <col min="1" max="1" width="4.42578125" style="57" customWidth="1"/>
    <col min="2" max="2" width="29.5703125" style="57" customWidth="1"/>
    <col min="3" max="3" width="58" style="14" customWidth="1"/>
    <col min="4" max="4" width="16.42578125" customWidth="1"/>
    <col min="5" max="5" width="10" customWidth="1"/>
    <col min="12" max="12" width="4.5703125" customWidth="1"/>
  </cols>
  <sheetData>
    <row r="1" spans="1:12" ht="20.25" customHeight="1">
      <c r="A1" s="15"/>
      <c r="B1" s="16"/>
      <c r="C1" s="17"/>
      <c r="D1" s="18"/>
      <c r="E1" s="18"/>
      <c r="F1" s="18"/>
      <c r="G1" s="18"/>
      <c r="H1" s="18"/>
      <c r="I1" s="18"/>
      <c r="J1" s="18"/>
      <c r="K1" s="18"/>
      <c r="L1" s="19"/>
    </row>
    <row r="2" spans="1:12" ht="24.75" customHeight="1">
      <c r="A2" s="20"/>
      <c r="B2" s="21" t="s">
        <v>0</v>
      </c>
      <c r="C2" s="22" t="s">
        <v>1</v>
      </c>
      <c r="D2" s="23"/>
      <c r="E2" s="24"/>
      <c r="F2" s="24"/>
      <c r="G2" s="24"/>
      <c r="H2" s="24"/>
      <c r="I2" s="24"/>
      <c r="J2" s="24"/>
      <c r="K2" s="24"/>
      <c r="L2" s="25"/>
    </row>
    <row r="3" spans="1:12" ht="16.5" customHeight="1">
      <c r="A3" s="24"/>
      <c r="B3" s="24"/>
      <c r="C3" s="24"/>
      <c r="D3" s="24"/>
      <c r="E3" s="24"/>
      <c r="F3" s="24"/>
      <c r="G3" s="24"/>
      <c r="H3" s="24"/>
      <c r="I3" s="24"/>
      <c r="J3" s="24"/>
      <c r="K3" s="24"/>
      <c r="L3" s="25"/>
    </row>
    <row r="4" spans="1:12" ht="18">
      <c r="A4" s="29"/>
      <c r="B4" s="30" t="s">
        <v>2</v>
      </c>
      <c r="C4" s="31"/>
      <c r="D4" s="12"/>
      <c r="E4" s="218"/>
      <c r="F4" s="218"/>
      <c r="G4" s="218"/>
      <c r="H4" s="218"/>
      <c r="I4" s="32"/>
      <c r="J4" s="32"/>
      <c r="K4" s="32"/>
      <c r="L4" s="33"/>
    </row>
    <row r="5" spans="1:12" ht="9.6" customHeight="1">
      <c r="A5" s="219"/>
      <c r="B5" s="34"/>
      <c r="C5" s="35"/>
      <c r="D5" s="36"/>
      <c r="E5" s="220"/>
      <c r="F5" s="220"/>
      <c r="G5" s="220"/>
      <c r="H5" s="220"/>
      <c r="I5" s="24"/>
      <c r="J5" s="24"/>
      <c r="K5" s="24"/>
      <c r="L5" s="25"/>
    </row>
    <row r="6" spans="1:12" ht="18">
      <c r="A6" s="219"/>
      <c r="B6" s="37" t="s">
        <v>3</v>
      </c>
      <c r="C6" s="221" t="s">
        <v>1</v>
      </c>
      <c r="D6" s="38"/>
      <c r="E6" s="220"/>
      <c r="F6" s="220"/>
      <c r="G6" s="220"/>
      <c r="H6" s="220"/>
      <c r="I6" s="24"/>
      <c r="J6" s="24"/>
      <c r="K6" s="24"/>
      <c r="L6" s="25"/>
    </row>
    <row r="7" spans="1:12">
      <c r="A7" s="219"/>
      <c r="B7" s="39" t="s">
        <v>4</v>
      </c>
      <c r="C7" s="40" t="s">
        <v>5</v>
      </c>
      <c r="D7" s="222"/>
      <c r="E7" s="220"/>
      <c r="F7" s="220"/>
      <c r="G7" s="220"/>
      <c r="H7" s="220"/>
      <c r="I7" s="24"/>
      <c r="J7" s="24"/>
      <c r="K7" s="24"/>
      <c r="L7" s="25"/>
    </row>
    <row r="8" spans="1:12">
      <c r="A8" s="219"/>
      <c r="B8" s="39" t="s">
        <v>6</v>
      </c>
      <c r="C8" s="41" t="s">
        <v>7</v>
      </c>
      <c r="D8" s="41" t="s">
        <v>8</v>
      </c>
      <c r="E8" s="220"/>
      <c r="F8" s="220"/>
      <c r="G8" s="220"/>
      <c r="H8" s="220"/>
      <c r="I8" s="24"/>
      <c r="J8" s="24"/>
      <c r="K8" s="24"/>
      <c r="L8" s="25"/>
    </row>
    <row r="9" spans="1:12">
      <c r="A9" s="219"/>
      <c r="B9" s="39" t="s">
        <v>9</v>
      </c>
      <c r="C9" s="221" t="s">
        <v>10</v>
      </c>
      <c r="D9" s="222"/>
      <c r="E9" s="220"/>
      <c r="F9" s="220"/>
      <c r="G9" s="220"/>
      <c r="H9" s="220"/>
      <c r="I9" s="24"/>
      <c r="J9" s="24"/>
      <c r="K9" s="24"/>
      <c r="L9" s="25"/>
    </row>
    <row r="10" spans="1:12">
      <c r="A10" s="219"/>
      <c r="B10" s="39" t="s">
        <v>11</v>
      </c>
      <c r="C10" s="221" t="s">
        <v>12</v>
      </c>
      <c r="D10" s="222"/>
      <c r="E10" s="220"/>
      <c r="F10" s="220"/>
      <c r="G10" s="220"/>
      <c r="H10" s="220"/>
      <c r="I10" s="24"/>
      <c r="J10" s="24"/>
      <c r="K10" s="24"/>
      <c r="L10" s="25"/>
    </row>
    <row r="11" spans="1:12">
      <c r="A11" s="219"/>
      <c r="B11" s="39" t="s">
        <v>13</v>
      </c>
      <c r="C11" s="223" t="s">
        <v>14</v>
      </c>
      <c r="D11" s="222"/>
      <c r="E11" s="220"/>
      <c r="F11" s="220"/>
      <c r="G11" s="220"/>
      <c r="H11" s="220"/>
      <c r="I11" s="24"/>
      <c r="J11" s="24"/>
      <c r="K11" s="24"/>
      <c r="L11" s="25"/>
    </row>
    <row r="12" spans="1:12" ht="43.15">
      <c r="A12" s="219"/>
      <c r="B12" s="39" t="s">
        <v>15</v>
      </c>
      <c r="C12" s="224" t="s">
        <v>16</v>
      </c>
      <c r="D12" s="222"/>
      <c r="E12" s="220"/>
      <c r="F12" s="220"/>
      <c r="G12" s="220"/>
      <c r="H12" s="220"/>
      <c r="I12" s="24"/>
      <c r="J12" s="24"/>
      <c r="K12" s="24"/>
      <c r="L12" s="25"/>
    </row>
    <row r="13" spans="1:12">
      <c r="A13" s="219"/>
      <c r="B13" s="39" t="s">
        <v>17</v>
      </c>
      <c r="C13" s="225">
        <f>SUM(SROI!D122:H122)</f>
        <v>3368029.208695652</v>
      </c>
      <c r="D13" s="222"/>
      <c r="E13" s="220"/>
      <c r="F13" s="220"/>
      <c r="G13" s="220"/>
      <c r="H13" s="220"/>
      <c r="I13" s="24"/>
      <c r="J13" s="24"/>
      <c r="K13" s="24"/>
      <c r="L13" s="25"/>
    </row>
    <row r="14" spans="1:12">
      <c r="A14" s="219"/>
      <c r="B14" s="39" t="s">
        <v>18</v>
      </c>
      <c r="C14" s="226" t="s">
        <v>19</v>
      </c>
      <c r="D14" s="222"/>
      <c r="E14" s="220"/>
      <c r="F14" s="220"/>
      <c r="G14" s="220"/>
      <c r="H14" s="220"/>
      <c r="I14" s="24"/>
      <c r="J14" s="24"/>
      <c r="K14" s="24"/>
      <c r="L14" s="25"/>
    </row>
    <row r="15" spans="1:12">
      <c r="A15" s="219"/>
      <c r="B15" s="39" t="s">
        <v>20</v>
      </c>
      <c r="C15" s="227">
        <v>46174</v>
      </c>
      <c r="D15" s="222" t="s">
        <v>21</v>
      </c>
      <c r="E15" s="220"/>
      <c r="F15" s="220"/>
      <c r="G15" s="220"/>
      <c r="H15" s="220"/>
      <c r="I15" s="24"/>
      <c r="J15" s="24"/>
      <c r="K15" s="24"/>
      <c r="L15" s="25"/>
    </row>
    <row r="16" spans="1:12">
      <c r="A16" s="219"/>
      <c r="B16" s="39" t="s">
        <v>22</v>
      </c>
      <c r="C16" s="227" t="s">
        <v>23</v>
      </c>
      <c r="D16" s="222"/>
      <c r="E16" s="220"/>
      <c r="F16" s="220"/>
      <c r="G16" s="220"/>
      <c r="H16" s="220"/>
      <c r="I16" s="24"/>
      <c r="J16" s="24"/>
      <c r="K16" s="24"/>
      <c r="L16" s="25"/>
    </row>
    <row r="17" spans="1:12" ht="42" customHeight="1">
      <c r="A17" s="219"/>
      <c r="B17" s="42"/>
      <c r="C17" s="228"/>
      <c r="D17" s="220"/>
      <c r="E17" s="220"/>
      <c r="F17" s="220"/>
      <c r="G17" s="220"/>
      <c r="H17" s="220"/>
      <c r="I17" s="24"/>
      <c r="J17" s="24"/>
      <c r="K17" s="24"/>
      <c r="L17" s="25"/>
    </row>
    <row r="18" spans="1:12" ht="18">
      <c r="A18" s="29"/>
      <c r="B18" s="30" t="s">
        <v>24</v>
      </c>
      <c r="C18" s="31"/>
      <c r="D18" s="12"/>
      <c r="E18" s="12"/>
      <c r="F18" s="12"/>
      <c r="G18" s="12"/>
      <c r="H18" s="12"/>
      <c r="I18" s="12"/>
      <c r="J18" s="12"/>
      <c r="K18" s="12"/>
      <c r="L18" s="43"/>
    </row>
    <row r="19" spans="1:12" ht="18">
      <c r="A19" s="44"/>
      <c r="B19" s="34"/>
      <c r="C19" s="35"/>
      <c r="D19" s="36"/>
      <c r="E19" s="220"/>
      <c r="F19" s="220"/>
      <c r="G19" s="220"/>
      <c r="H19" s="220"/>
      <c r="I19" s="24"/>
      <c r="J19" s="24"/>
      <c r="K19" s="24"/>
      <c r="L19" s="25"/>
    </row>
    <row r="20" spans="1:12" ht="28.9">
      <c r="A20" s="45"/>
      <c r="B20" s="176" t="s">
        <v>25</v>
      </c>
      <c r="C20" s="177">
        <f>SROI!C141</f>
        <v>6.2576887936650509</v>
      </c>
      <c r="D20" s="24"/>
      <c r="E20" s="220"/>
      <c r="F20" s="220"/>
      <c r="G20" s="220"/>
      <c r="H20" s="220"/>
      <c r="I20" s="24"/>
      <c r="J20" s="24"/>
      <c r="K20" s="24"/>
      <c r="L20" s="25"/>
    </row>
    <row r="21" spans="1:12">
      <c r="A21" s="46"/>
      <c r="B21" s="39" t="s">
        <v>26</v>
      </c>
      <c r="C21" s="221" t="s">
        <v>27</v>
      </c>
      <c r="D21" s="220"/>
      <c r="E21" s="220"/>
      <c r="F21" s="220"/>
      <c r="G21" s="220"/>
      <c r="H21" s="220"/>
      <c r="I21" s="24"/>
      <c r="J21" s="24"/>
      <c r="K21" s="24"/>
      <c r="L21" s="25"/>
    </row>
    <row r="22" spans="1:12">
      <c r="A22" s="46"/>
      <c r="B22" s="39" t="s">
        <v>28</v>
      </c>
      <c r="C22" s="221" t="s">
        <v>29</v>
      </c>
      <c r="D22" s="24"/>
      <c r="E22" s="220"/>
      <c r="F22" s="220"/>
      <c r="G22" s="220"/>
      <c r="H22" s="220"/>
      <c r="I22" s="24"/>
      <c r="J22" s="24"/>
      <c r="K22" s="24"/>
      <c r="L22" s="25"/>
    </row>
    <row r="23" spans="1:12" ht="18">
      <c r="A23" s="46"/>
      <c r="B23" s="208" t="s">
        <v>30</v>
      </c>
      <c r="C23" s="209"/>
      <c r="D23" s="24"/>
      <c r="E23" s="220"/>
      <c r="F23" s="220"/>
      <c r="G23" s="220"/>
      <c r="H23" s="220"/>
      <c r="I23" s="24"/>
      <c r="J23" s="24"/>
      <c r="K23" s="24"/>
      <c r="L23" s="25"/>
    </row>
    <row r="24" spans="1:12" ht="40.9">
      <c r="A24" s="46"/>
      <c r="B24" s="180" t="s">
        <v>31</v>
      </c>
      <c r="C24" s="229" t="s">
        <v>32</v>
      </c>
      <c r="D24" s="24"/>
      <c r="E24" s="220"/>
      <c r="F24" s="220"/>
      <c r="G24" s="220"/>
      <c r="H24" s="220"/>
      <c r="I24" s="24"/>
      <c r="J24" s="24"/>
      <c r="K24" s="24"/>
      <c r="L24" s="25"/>
    </row>
    <row r="25" spans="1:12">
      <c r="A25" s="46"/>
      <c r="B25" s="178" t="s">
        <v>33</v>
      </c>
      <c r="C25" s="230">
        <f>MIN(SROI!R148:T153)</f>
        <v>2.5060368373406741</v>
      </c>
      <c r="D25" s="24"/>
      <c r="E25" s="220"/>
      <c r="F25" s="220"/>
      <c r="G25" s="220"/>
      <c r="H25" s="220"/>
      <c r="I25" s="24"/>
      <c r="J25" s="24"/>
      <c r="K25" s="24"/>
      <c r="L25" s="25"/>
    </row>
    <row r="26" spans="1:12">
      <c r="A26" s="46"/>
      <c r="B26" s="178" t="s">
        <v>34</v>
      </c>
      <c r="C26" s="230">
        <f>MAX(SROI!R148:T153)</f>
        <v>6.8234061524544529</v>
      </c>
      <c r="D26" s="24"/>
      <c r="E26" s="220"/>
      <c r="F26" s="220"/>
      <c r="G26" s="220"/>
      <c r="H26" s="220"/>
      <c r="I26" s="24"/>
      <c r="J26" s="24"/>
      <c r="K26" s="24"/>
      <c r="L26" s="25"/>
    </row>
    <row r="27" spans="1:12" ht="24.75" customHeight="1">
      <c r="A27" s="44"/>
      <c r="B27" s="34"/>
      <c r="D27" s="36"/>
      <c r="E27" s="220"/>
      <c r="F27" s="220"/>
      <c r="G27" s="220"/>
      <c r="H27" s="220"/>
      <c r="I27" s="24"/>
      <c r="J27" s="24"/>
      <c r="K27" s="24"/>
      <c r="L27" s="25"/>
    </row>
    <row r="28" spans="1:12" ht="18">
      <c r="A28" s="29"/>
      <c r="B28" s="30" t="s">
        <v>35</v>
      </c>
      <c r="C28" s="12"/>
      <c r="D28" s="12"/>
      <c r="E28" s="218"/>
      <c r="F28" s="218"/>
      <c r="G28" s="218"/>
      <c r="H28" s="218"/>
      <c r="I28" s="32"/>
      <c r="J28" s="32"/>
      <c r="K28" s="32"/>
      <c r="L28" s="33"/>
    </row>
    <row r="29" spans="1:12" ht="18">
      <c r="A29" s="44"/>
      <c r="B29" s="34"/>
      <c r="C29" s="35"/>
      <c r="D29" s="36"/>
      <c r="E29" s="220"/>
      <c r="F29" s="220"/>
      <c r="G29" s="220"/>
      <c r="H29" s="220"/>
      <c r="I29" s="24"/>
      <c r="J29" s="24"/>
      <c r="K29" s="24"/>
      <c r="L29" s="25"/>
    </row>
    <row r="30" spans="1:12" ht="57.6">
      <c r="A30" s="46"/>
      <c r="B30" s="39" t="s">
        <v>36</v>
      </c>
      <c r="C30" s="221" t="s">
        <v>37</v>
      </c>
      <c r="D30" s="220"/>
      <c r="E30" s="220"/>
      <c r="F30" s="220"/>
      <c r="G30" s="220"/>
      <c r="H30" s="220"/>
      <c r="I30" s="24"/>
      <c r="J30" s="24"/>
      <c r="K30" s="24"/>
      <c r="L30" s="25"/>
    </row>
    <row r="31" spans="1:12">
      <c r="A31" s="46"/>
      <c r="B31" s="39" t="s">
        <v>38</v>
      </c>
      <c r="C31" s="221" t="s">
        <v>39</v>
      </c>
      <c r="D31" s="220"/>
      <c r="E31" s="220"/>
      <c r="F31" s="220"/>
      <c r="G31" s="220"/>
      <c r="H31" s="220"/>
      <c r="I31" s="24"/>
      <c r="J31" s="24"/>
      <c r="K31" s="24"/>
      <c r="L31" s="25"/>
    </row>
    <row r="32" spans="1:12">
      <c r="A32" s="46"/>
      <c r="B32" s="39" t="s">
        <v>40</v>
      </c>
      <c r="C32" s="221" t="s">
        <v>41</v>
      </c>
      <c r="D32" s="220"/>
      <c r="E32" s="220"/>
      <c r="F32" s="220"/>
      <c r="G32" s="220"/>
      <c r="H32" s="220"/>
      <c r="I32" s="24"/>
      <c r="J32" s="24"/>
      <c r="K32" s="24"/>
      <c r="L32" s="25"/>
    </row>
    <row r="33" spans="1:12">
      <c r="A33" s="46"/>
      <c r="B33" s="39" t="s">
        <v>42</v>
      </c>
      <c r="C33" s="221" t="s">
        <v>43</v>
      </c>
      <c r="D33" s="220"/>
      <c r="E33" s="220"/>
      <c r="F33" s="220"/>
      <c r="G33" s="220"/>
      <c r="H33" s="220"/>
      <c r="I33" s="24"/>
      <c r="J33" s="24"/>
      <c r="K33" s="24"/>
      <c r="L33" s="25"/>
    </row>
    <row r="34" spans="1:12">
      <c r="A34" s="46"/>
      <c r="B34" s="39"/>
      <c r="C34" s="221" t="s">
        <v>44</v>
      </c>
      <c r="D34" s="220"/>
      <c r="E34" s="220"/>
      <c r="F34" s="220"/>
      <c r="G34" s="220"/>
      <c r="H34" s="220"/>
      <c r="I34" s="24"/>
      <c r="J34" s="24"/>
      <c r="K34" s="24"/>
      <c r="L34" s="25"/>
    </row>
    <row r="35" spans="1:12">
      <c r="A35" s="46"/>
      <c r="B35" s="39" t="s">
        <v>45</v>
      </c>
      <c r="C35" s="221" t="s">
        <v>46</v>
      </c>
      <c r="D35" s="220"/>
      <c r="E35" s="220"/>
      <c r="F35" s="220"/>
      <c r="G35" s="220"/>
      <c r="H35" s="220"/>
      <c r="I35" s="24"/>
      <c r="J35" s="24"/>
      <c r="K35" s="24"/>
      <c r="L35" s="25"/>
    </row>
    <row r="36" spans="1:12">
      <c r="A36" s="46"/>
      <c r="B36" s="39" t="s">
        <v>47</v>
      </c>
      <c r="C36" s="221" t="s">
        <v>48</v>
      </c>
      <c r="D36" s="220"/>
      <c r="E36" s="220"/>
      <c r="F36" s="220"/>
      <c r="G36" s="220"/>
      <c r="H36" s="220"/>
      <c r="I36" s="24"/>
      <c r="J36" s="24"/>
      <c r="K36" s="24"/>
      <c r="L36" s="25"/>
    </row>
    <row r="37" spans="1:12">
      <c r="A37" s="231"/>
      <c r="B37" s="232"/>
      <c r="C37" s="228"/>
      <c r="D37" s="220"/>
      <c r="E37" s="220"/>
      <c r="F37" s="220"/>
      <c r="G37" s="220"/>
      <c r="H37" s="220"/>
      <c r="I37" s="24"/>
      <c r="J37" s="24"/>
      <c r="K37" s="24"/>
      <c r="L37" s="25"/>
    </row>
    <row r="38" spans="1:12" ht="18">
      <c r="A38" s="29"/>
      <c r="B38" s="30" t="s">
        <v>49</v>
      </c>
      <c r="C38" s="31"/>
      <c r="D38" s="12"/>
      <c r="E38" s="218"/>
      <c r="F38" s="218"/>
      <c r="G38" s="218"/>
      <c r="H38" s="218"/>
      <c r="I38" s="32"/>
      <c r="J38" s="32"/>
      <c r="K38" s="32"/>
      <c r="L38" s="33"/>
    </row>
    <row r="39" spans="1:12" ht="9" customHeight="1">
      <c r="A39" s="44"/>
      <c r="B39" s="34"/>
      <c r="C39" s="35"/>
      <c r="D39" s="36"/>
      <c r="E39" s="220"/>
      <c r="F39" s="220"/>
      <c r="G39" s="220"/>
      <c r="H39" s="220"/>
      <c r="I39" s="24"/>
      <c r="J39" s="24"/>
      <c r="K39" s="24"/>
      <c r="L39" s="25"/>
    </row>
    <row r="40" spans="1:12" ht="86.1" customHeight="1">
      <c r="A40" s="46"/>
      <c r="B40" s="83" t="s">
        <v>50</v>
      </c>
      <c r="C40" s="233" t="s">
        <v>51</v>
      </c>
      <c r="D40" s="234"/>
      <c r="E40" s="234"/>
      <c r="F40" s="234"/>
      <c r="G40" s="234"/>
      <c r="H40" s="234"/>
      <c r="I40" s="234"/>
      <c r="J40" s="234"/>
      <c r="K40" s="235"/>
      <c r="L40" s="25"/>
    </row>
    <row r="41" spans="1:12" ht="75" customHeight="1">
      <c r="A41" s="46"/>
      <c r="B41" s="83" t="s">
        <v>52</v>
      </c>
      <c r="C41" s="233" t="s">
        <v>53</v>
      </c>
      <c r="D41" s="234"/>
      <c r="E41" s="236"/>
      <c r="F41" s="236"/>
      <c r="G41" s="236"/>
      <c r="H41" s="236"/>
      <c r="I41" s="236"/>
      <c r="J41" s="236"/>
      <c r="K41" s="237"/>
      <c r="L41" s="25"/>
    </row>
    <row r="42" spans="1:12" ht="84" customHeight="1">
      <c r="A42" s="46"/>
      <c r="B42" s="39" t="s">
        <v>54</v>
      </c>
      <c r="C42" s="233" t="s">
        <v>55</v>
      </c>
      <c r="D42" s="234"/>
      <c r="E42" s="236"/>
      <c r="F42" s="236"/>
      <c r="G42" s="236"/>
      <c r="H42" s="236"/>
      <c r="I42" s="236"/>
      <c r="J42" s="236"/>
      <c r="K42" s="237"/>
      <c r="L42" s="25"/>
    </row>
    <row r="43" spans="1:12">
      <c r="A43" s="47"/>
      <c r="B43" s="48"/>
      <c r="C43" s="28"/>
      <c r="D43" s="24"/>
      <c r="E43" s="24"/>
      <c r="F43" s="24"/>
      <c r="G43" s="24"/>
      <c r="H43" s="24"/>
      <c r="I43" s="24"/>
      <c r="J43" s="24"/>
      <c r="K43" s="24"/>
      <c r="L43" s="25"/>
    </row>
    <row r="44" spans="1:12" ht="18">
      <c r="A44" s="29"/>
      <c r="B44" s="30" t="s">
        <v>56</v>
      </c>
      <c r="C44" s="31"/>
      <c r="D44" s="12"/>
      <c r="E44" s="218"/>
      <c r="F44" s="218"/>
      <c r="G44" s="218"/>
      <c r="H44" s="218"/>
      <c r="I44" s="32"/>
      <c r="J44" s="32"/>
      <c r="K44" s="32"/>
      <c r="L44" s="33"/>
    </row>
    <row r="45" spans="1:12">
      <c r="A45" s="47"/>
      <c r="B45" s="48"/>
      <c r="C45" s="28"/>
      <c r="D45" s="24"/>
      <c r="E45" s="24"/>
      <c r="F45" s="24"/>
      <c r="G45" s="24"/>
      <c r="H45" s="24"/>
      <c r="I45" s="24"/>
      <c r="J45" s="24"/>
      <c r="K45" s="24"/>
      <c r="L45" s="25"/>
    </row>
    <row r="46" spans="1:12">
      <c r="A46" s="47"/>
      <c r="B46" s="48"/>
      <c r="C46" s="28"/>
      <c r="D46" s="24"/>
      <c r="F46" t="s">
        <v>57</v>
      </c>
      <c r="G46" t="s">
        <v>58</v>
      </c>
      <c r="H46" s="24"/>
      <c r="I46" s="24"/>
      <c r="J46" s="24"/>
      <c r="K46" s="24"/>
      <c r="L46" s="25"/>
    </row>
    <row r="47" spans="1:12">
      <c r="A47" s="47"/>
      <c r="B47" s="48"/>
      <c r="C47" s="28"/>
      <c r="D47" s="49"/>
      <c r="E47" t="s">
        <v>59</v>
      </c>
      <c r="F47" s="11">
        <f>SUM(SROI!D51:M51)</f>
        <v>57.452779625376351</v>
      </c>
      <c r="G47" s="11">
        <f>SUM(SROI!D84:M84)</f>
        <v>83.876694620106022</v>
      </c>
      <c r="H47" s="24"/>
      <c r="I47" s="24"/>
      <c r="J47" s="24"/>
      <c r="K47" s="24"/>
      <c r="L47" s="25"/>
    </row>
    <row r="48" spans="1:12">
      <c r="A48" s="50"/>
      <c r="B48" t="s">
        <v>60</v>
      </c>
      <c r="C48" s="58">
        <f>SROI!C133</f>
        <v>706.87078581743481</v>
      </c>
      <c r="D48" s="49"/>
      <c r="E48" t="s">
        <v>61</v>
      </c>
      <c r="F48" s="11">
        <f>SUM(SROI!D60:M60)</f>
        <v>524.65395818684442</v>
      </c>
      <c r="G48" s="11">
        <f>SUM(SROI!D94:M94)</f>
        <v>408.88769950285473</v>
      </c>
      <c r="H48" s="24"/>
      <c r="I48" s="24"/>
      <c r="J48" s="24"/>
      <c r="K48" s="24"/>
      <c r="L48" s="25"/>
    </row>
    <row r="49" spans="1:12">
      <c r="A49" s="50"/>
      <c r="B49" t="s">
        <v>62</v>
      </c>
      <c r="C49" s="58">
        <f>SROI!C134</f>
        <v>557.07453059431293</v>
      </c>
      <c r="D49" s="49"/>
      <c r="E49" t="s">
        <v>63</v>
      </c>
      <c r="F49" s="11">
        <f>SUM(SROI!D64:M64)</f>
        <v>16.478189628733077</v>
      </c>
      <c r="G49" s="11">
        <f>SUM(SROI!D99:M99)</f>
        <v>12.357137682819316</v>
      </c>
      <c r="H49" s="24"/>
      <c r="I49" s="24"/>
      <c r="J49" s="24"/>
      <c r="K49" s="24"/>
      <c r="L49" s="25"/>
    </row>
    <row r="50" spans="1:12">
      <c r="A50" s="50"/>
      <c r="B50" t="s">
        <v>64</v>
      </c>
      <c r="C50" s="58">
        <f>SROI!C135</f>
        <v>607.41931080396273</v>
      </c>
      <c r="D50" s="49"/>
      <c r="E50" s="238" t="s">
        <v>65</v>
      </c>
      <c r="F50" s="11">
        <f>SUM(SROI!D69:M69)</f>
        <v>108.28585837648107</v>
      </c>
      <c r="G50" s="11">
        <f>SUM(SROI!D105:M105)</f>
        <v>51.952998788532881</v>
      </c>
      <c r="H50" s="24"/>
      <c r="I50" s="24"/>
      <c r="J50" s="24"/>
      <c r="K50" s="24"/>
      <c r="L50" s="25"/>
    </row>
    <row r="51" spans="1:12">
      <c r="A51" s="47"/>
      <c r="B51" t="s">
        <v>66</v>
      </c>
      <c r="C51" s="58">
        <f>SROI!C127</f>
        <v>97.067676394978534</v>
      </c>
      <c r="D51" s="24"/>
      <c r="F51" s="11">
        <f>SUM(F48:F50)</f>
        <v>649.41800619205856</v>
      </c>
      <c r="G51" s="11">
        <f>SUM(G48:G50)</f>
        <v>473.1978359742069</v>
      </c>
      <c r="H51" s="24"/>
      <c r="I51" s="24"/>
      <c r="J51" s="24"/>
      <c r="K51" s="24"/>
      <c r="L51" s="25"/>
    </row>
    <row r="52" spans="1:12">
      <c r="A52" s="47"/>
      <c r="B52" s="48" t="s">
        <v>67</v>
      </c>
      <c r="C52" s="78">
        <f>C50-C51</f>
        <v>510.35163440898418</v>
      </c>
      <c r="D52" s="24"/>
      <c r="E52" s="24"/>
      <c r="F52" s="24"/>
      <c r="G52" s="24"/>
      <c r="H52" s="24"/>
      <c r="I52" s="24"/>
      <c r="J52" s="24"/>
      <c r="K52" s="24"/>
      <c r="L52" s="25"/>
    </row>
    <row r="53" spans="1:12">
      <c r="A53" s="26"/>
      <c r="B53" s="27"/>
      <c r="C53" s="28"/>
      <c r="D53" s="24"/>
      <c r="E53" s="24"/>
      <c r="F53" s="24"/>
      <c r="G53" s="24"/>
      <c r="H53" s="24"/>
      <c r="I53" s="24"/>
      <c r="J53" s="24"/>
      <c r="K53" s="24"/>
      <c r="L53" s="25"/>
    </row>
    <row r="54" spans="1:12">
      <c r="A54" s="26"/>
      <c r="B54" s="27"/>
      <c r="C54" s="28"/>
      <c r="D54" s="24"/>
      <c r="E54" s="24"/>
      <c r="F54" s="24"/>
      <c r="G54" s="24"/>
      <c r="H54" s="24"/>
      <c r="J54" s="24"/>
      <c r="K54" s="24"/>
      <c r="L54" s="25"/>
    </row>
    <row r="55" spans="1:12">
      <c r="A55" s="26"/>
      <c r="B55" s="27"/>
      <c r="C55" s="28"/>
      <c r="D55" s="24"/>
      <c r="E55" s="24"/>
      <c r="F55" s="24"/>
      <c r="G55" s="24"/>
      <c r="H55" s="24"/>
      <c r="I55" s="24"/>
      <c r="J55" s="24"/>
      <c r="K55" s="24"/>
      <c r="L55" s="25"/>
    </row>
    <row r="56" spans="1:12">
      <c r="A56" s="26"/>
      <c r="B56" s="27"/>
      <c r="C56" s="28"/>
      <c r="D56" s="24"/>
      <c r="E56" s="24"/>
      <c r="F56" s="24"/>
      <c r="G56" s="24"/>
      <c r="H56" s="24"/>
      <c r="I56" s="24"/>
      <c r="J56" s="24"/>
      <c r="K56" s="24"/>
      <c r="L56" s="25"/>
    </row>
    <row r="57" spans="1:12">
      <c r="A57" s="26"/>
      <c r="B57" s="27"/>
      <c r="C57" s="28"/>
      <c r="D57" s="24"/>
      <c r="E57" s="24"/>
      <c r="F57" s="24"/>
      <c r="G57" s="24"/>
      <c r="H57" s="24"/>
      <c r="I57" s="24"/>
      <c r="J57" s="24"/>
      <c r="K57" s="24"/>
      <c r="L57" s="25"/>
    </row>
    <row r="58" spans="1:12">
      <c r="A58" s="26"/>
      <c r="B58" s="27"/>
      <c r="C58" s="28"/>
      <c r="D58" s="24"/>
      <c r="E58" s="24"/>
      <c r="F58" s="24"/>
      <c r="G58" s="24"/>
      <c r="H58" s="24"/>
      <c r="I58" s="24"/>
      <c r="J58" s="24"/>
      <c r="K58" s="24"/>
      <c r="L58" s="25"/>
    </row>
    <row r="59" spans="1:12">
      <c r="A59" s="26"/>
      <c r="B59" s="27"/>
      <c r="C59" s="28"/>
      <c r="D59" s="24"/>
      <c r="E59" s="24"/>
      <c r="F59" s="24"/>
      <c r="G59" s="24"/>
      <c r="H59" s="24"/>
      <c r="I59" s="24"/>
      <c r="J59" s="24"/>
      <c r="K59" s="24"/>
      <c r="L59" s="25"/>
    </row>
    <row r="60" spans="1:12">
      <c r="A60" s="26"/>
      <c r="B60" s="27"/>
      <c r="C60" s="28"/>
      <c r="D60" s="24"/>
      <c r="E60" s="24"/>
      <c r="F60" s="24"/>
      <c r="G60" s="24"/>
      <c r="H60" s="24"/>
      <c r="I60" s="24"/>
      <c r="J60" s="24"/>
      <c r="K60" s="24"/>
      <c r="L60" s="25"/>
    </row>
    <row r="61" spans="1:12">
      <c r="A61" s="26"/>
      <c r="B61" s="27"/>
      <c r="C61" s="28"/>
      <c r="D61" s="24"/>
      <c r="E61" s="24"/>
      <c r="F61" s="24"/>
      <c r="G61" s="24"/>
      <c r="H61" s="24"/>
      <c r="I61" s="24"/>
      <c r="J61" s="24"/>
      <c r="K61" s="24"/>
      <c r="L61" s="25"/>
    </row>
    <row r="62" spans="1:12">
      <c r="A62" s="26"/>
      <c r="B62" s="27"/>
      <c r="C62" s="28"/>
      <c r="D62" s="24"/>
      <c r="E62" s="24"/>
      <c r="F62" s="24"/>
      <c r="G62" s="24"/>
      <c r="H62" s="24"/>
      <c r="I62" s="24"/>
      <c r="J62" s="24"/>
      <c r="K62" s="24"/>
      <c r="L62" s="25"/>
    </row>
    <row r="63" spans="1:12">
      <c r="A63" s="26"/>
      <c r="B63" s="27"/>
      <c r="C63" s="28"/>
      <c r="D63" s="24"/>
      <c r="E63" s="24"/>
      <c r="F63" s="24"/>
      <c r="G63" s="24"/>
      <c r="H63" s="24"/>
      <c r="I63" s="24"/>
      <c r="J63" s="24"/>
      <c r="K63" s="24"/>
      <c r="L63" s="25"/>
    </row>
    <row r="64" spans="1:12">
      <c r="A64" s="26"/>
      <c r="B64" s="27"/>
      <c r="C64" s="28"/>
      <c r="D64" s="24"/>
      <c r="E64" s="24"/>
      <c r="F64" s="24"/>
      <c r="G64" s="24"/>
      <c r="H64" s="24"/>
      <c r="I64" s="24"/>
      <c r="J64" s="24"/>
      <c r="K64" s="24"/>
      <c r="L64" s="25"/>
    </row>
    <row r="65" spans="1:12">
      <c r="A65" s="26"/>
      <c r="B65" s="27"/>
      <c r="C65" s="28"/>
      <c r="D65" s="24"/>
      <c r="E65" s="24"/>
      <c r="F65" s="24"/>
      <c r="G65" s="24"/>
      <c r="H65" s="24"/>
      <c r="I65" s="24"/>
      <c r="J65" s="24"/>
      <c r="K65" s="24"/>
      <c r="L65" s="25"/>
    </row>
    <row r="66" spans="1:12" ht="18">
      <c r="A66" s="210"/>
      <c r="B66" s="59" t="s">
        <v>68</v>
      </c>
      <c r="C66" s="51" t="s">
        <v>69</v>
      </c>
      <c r="D66" s="52">
        <f>SUM(SROI!D115:N115)</f>
        <v>5892474.8705741372</v>
      </c>
      <c r="E66" s="24"/>
      <c r="F66" s="24"/>
      <c r="G66" s="24"/>
      <c r="H66" s="24"/>
      <c r="I66" s="24"/>
      <c r="J66" s="24"/>
      <c r="K66" s="24"/>
      <c r="L66" s="25"/>
    </row>
    <row r="67" spans="1:12" ht="18">
      <c r="A67" s="210"/>
      <c r="B67" s="59" t="s">
        <v>70</v>
      </c>
      <c r="C67" s="51" t="s">
        <v>69</v>
      </c>
      <c r="D67" s="52">
        <f>SUM(SROI!D116:N116)</f>
        <v>9173346.2952965517</v>
      </c>
      <c r="E67" s="24"/>
      <c r="F67" s="24"/>
      <c r="G67" s="24"/>
      <c r="H67" s="24"/>
      <c r="I67" s="24"/>
      <c r="J67" s="24"/>
      <c r="K67" s="24"/>
      <c r="L67" s="25"/>
    </row>
    <row r="68" spans="1:12" ht="18">
      <c r="A68" s="210"/>
      <c r="B68" s="211" t="s">
        <v>71</v>
      </c>
      <c r="C68" s="51" t="s">
        <v>72</v>
      </c>
      <c r="D68" s="52">
        <f>SROI!C126</f>
        <v>2407569.5776246525</v>
      </c>
      <c r="E68" s="24"/>
      <c r="F68" s="24"/>
      <c r="G68" s="24"/>
      <c r="H68" s="24"/>
      <c r="I68" s="24"/>
      <c r="J68" s="24"/>
      <c r="K68" s="24"/>
      <c r="L68" s="25"/>
    </row>
    <row r="69" spans="1:12" ht="18">
      <c r="A69" s="210"/>
      <c r="B69" s="211"/>
      <c r="C69" s="51" t="s">
        <v>69</v>
      </c>
      <c r="D69" s="52">
        <f>SROI!C131</f>
        <v>15065821.165870689</v>
      </c>
      <c r="E69" s="24"/>
      <c r="F69" s="24"/>
      <c r="G69" s="24"/>
      <c r="H69" s="24"/>
      <c r="I69" s="24"/>
      <c r="J69" s="24"/>
      <c r="K69" s="24"/>
      <c r="L69" s="25"/>
    </row>
    <row r="70" spans="1:12" ht="18">
      <c r="A70" s="210"/>
      <c r="B70" s="211"/>
      <c r="C70" s="51" t="s">
        <v>73</v>
      </c>
      <c r="D70" s="52">
        <f>SROI!C132</f>
        <v>12658251.588246036</v>
      </c>
      <c r="E70" s="24"/>
      <c r="F70" s="24"/>
      <c r="G70" s="24"/>
      <c r="H70" s="24"/>
      <c r="I70" s="24"/>
      <c r="J70" s="24"/>
      <c r="K70" s="24"/>
      <c r="L70" s="25"/>
    </row>
    <row r="71" spans="1:12">
      <c r="A71" s="26"/>
      <c r="B71" s="27"/>
      <c r="C71" s="28"/>
      <c r="D71" s="24"/>
      <c r="E71" s="24"/>
      <c r="F71" s="24"/>
      <c r="G71" s="24"/>
      <c r="H71" s="24"/>
      <c r="I71" s="24"/>
      <c r="J71" s="24"/>
      <c r="K71" s="24"/>
      <c r="L71" s="25"/>
    </row>
    <row r="72" spans="1:12">
      <c r="A72" s="26"/>
      <c r="B72" s="27"/>
      <c r="C72" s="28"/>
      <c r="D72" s="24"/>
      <c r="E72" s="24"/>
      <c r="F72" s="24"/>
      <c r="G72" s="24"/>
      <c r="H72" s="24"/>
      <c r="I72" s="24"/>
      <c r="J72" s="24"/>
      <c r="K72" s="24"/>
      <c r="L72" s="25"/>
    </row>
    <row r="73" spans="1:12">
      <c r="A73" s="26"/>
      <c r="B73" s="27"/>
      <c r="C73" s="28"/>
      <c r="D73" s="24"/>
      <c r="E73" s="24"/>
      <c r="F73" s="24"/>
      <c r="G73" s="24"/>
      <c r="H73" s="24"/>
      <c r="I73" s="24"/>
      <c r="J73" s="24"/>
      <c r="K73" s="24"/>
      <c r="L73" s="25"/>
    </row>
    <row r="74" spans="1:12">
      <c r="A74" s="26"/>
      <c r="B74" s="27"/>
      <c r="C74" s="28"/>
      <c r="D74" s="24"/>
      <c r="E74" s="24"/>
      <c r="F74" s="24"/>
      <c r="G74" s="24"/>
      <c r="H74" s="24"/>
      <c r="I74" s="24"/>
      <c r="J74" s="24"/>
      <c r="K74" s="24"/>
      <c r="L74" s="25"/>
    </row>
    <row r="75" spans="1:12">
      <c r="A75" s="26"/>
      <c r="B75" s="27"/>
      <c r="C75" s="28"/>
      <c r="D75" s="24"/>
      <c r="E75" s="24"/>
      <c r="F75" s="24"/>
      <c r="G75" s="24"/>
      <c r="H75" s="24"/>
      <c r="I75" s="24"/>
      <c r="J75" s="24"/>
      <c r="K75" s="24"/>
      <c r="L75" s="25"/>
    </row>
    <row r="76" spans="1:12">
      <c r="A76" s="26"/>
      <c r="B76" s="27"/>
      <c r="C76" s="28"/>
      <c r="D76" s="24"/>
      <c r="E76" s="24"/>
      <c r="F76" s="24"/>
      <c r="G76" s="24"/>
      <c r="H76" s="24"/>
      <c r="I76" s="24"/>
      <c r="J76" s="24"/>
      <c r="K76" s="24"/>
      <c r="L76" s="25"/>
    </row>
    <row r="77" spans="1:12">
      <c r="A77" s="26"/>
      <c r="B77" s="27"/>
      <c r="C77" s="28"/>
      <c r="D77" s="24"/>
      <c r="E77" s="24"/>
      <c r="F77" s="24"/>
      <c r="G77" s="24"/>
      <c r="H77" s="24"/>
      <c r="I77" s="24"/>
      <c r="J77" s="24"/>
      <c r="K77" s="24"/>
      <c r="L77" s="25"/>
    </row>
    <row r="78" spans="1:12">
      <c r="A78" s="26"/>
      <c r="B78" s="27"/>
      <c r="C78" s="28"/>
      <c r="D78" s="24"/>
      <c r="E78" s="24"/>
      <c r="F78" s="24"/>
      <c r="G78" s="24"/>
      <c r="H78" s="24"/>
      <c r="I78" s="24"/>
      <c r="J78" s="24"/>
      <c r="K78" s="24"/>
      <c r="L78" s="25"/>
    </row>
    <row r="79" spans="1:12">
      <c r="A79" s="26"/>
      <c r="B79" s="27"/>
      <c r="C79" s="28"/>
      <c r="D79" s="24"/>
      <c r="E79" s="24"/>
      <c r="F79" s="24"/>
      <c r="G79" s="24"/>
      <c r="H79" s="24"/>
      <c r="I79" s="24"/>
      <c r="J79" s="24"/>
      <c r="K79" s="24"/>
      <c r="L79" s="25"/>
    </row>
    <row r="80" spans="1:12">
      <c r="A80" s="26"/>
      <c r="B80" s="27"/>
      <c r="C80" s="28"/>
      <c r="D80" s="24"/>
      <c r="E80" s="24"/>
      <c r="F80" s="24"/>
      <c r="G80" s="24"/>
      <c r="H80" s="24"/>
      <c r="I80" s="24"/>
      <c r="J80" s="24"/>
      <c r="K80" s="24"/>
      <c r="L80" s="25"/>
    </row>
    <row r="81" spans="1:12">
      <c r="A81" s="26"/>
      <c r="B81" s="27"/>
      <c r="C81" s="28"/>
      <c r="D81" s="24"/>
      <c r="E81" s="24"/>
      <c r="F81" s="24"/>
      <c r="G81" s="24"/>
      <c r="H81" s="24"/>
      <c r="I81" s="24"/>
      <c r="J81" s="24"/>
      <c r="K81" s="24"/>
      <c r="L81" s="25"/>
    </row>
    <row r="82" spans="1:12">
      <c r="A82" s="26"/>
      <c r="B82" s="27"/>
      <c r="C82" s="28"/>
      <c r="D82" s="24"/>
      <c r="E82" s="24"/>
      <c r="F82" s="24"/>
      <c r="G82" s="24"/>
      <c r="H82" s="24"/>
      <c r="I82" s="24"/>
      <c r="J82" s="24"/>
      <c r="K82" s="24"/>
      <c r="L82" s="25"/>
    </row>
    <row r="83" spans="1:12">
      <c r="A83" s="26"/>
      <c r="B83" s="27"/>
      <c r="C83" s="28"/>
      <c r="D83" s="24"/>
      <c r="E83" s="24"/>
      <c r="F83" s="24"/>
      <c r="G83" s="24"/>
      <c r="H83" s="24"/>
      <c r="I83" s="24"/>
      <c r="J83" s="24"/>
      <c r="K83" s="24"/>
      <c r="L83" s="25"/>
    </row>
    <row r="84" spans="1:12" ht="32.85" customHeight="1">
      <c r="A84" s="53"/>
      <c r="B84" s="239" t="s">
        <v>74</v>
      </c>
      <c r="C84" s="54"/>
      <c r="D84" s="55"/>
      <c r="E84" s="55"/>
      <c r="F84" s="55"/>
      <c r="G84" s="55"/>
      <c r="H84" s="55"/>
      <c r="I84" s="55"/>
      <c r="J84" s="55"/>
      <c r="K84" s="55"/>
      <c r="L84" s="56"/>
    </row>
  </sheetData>
  <mergeCells count="7">
    <mergeCell ref="B23:C23"/>
    <mergeCell ref="A68:A70"/>
    <mergeCell ref="B68:B70"/>
    <mergeCell ref="A66:A67"/>
    <mergeCell ref="C40:K40"/>
    <mergeCell ref="C41:K41"/>
    <mergeCell ref="C42:K42"/>
  </mergeCells>
  <conditionalFormatting sqref="C22">
    <cfRule type="cellIs" dxfId="20" priority="5" operator="equal">
      <formula>"High"</formula>
    </cfRule>
    <cfRule type="cellIs" dxfId="19" priority="6" operator="equal">
      <formula>"Medium"</formula>
    </cfRule>
    <cfRule type="cellIs" dxfId="18" priority="7" operator="equal">
      <formula>"Low"</formula>
    </cfRule>
  </conditionalFormatting>
  <conditionalFormatting sqref="C36">
    <cfRule type="cellIs" dxfId="17" priority="2" operator="equal">
      <formula>"Excellent"</formula>
    </cfRule>
    <cfRule type="cellIs" dxfId="16" priority="3" operator="equal">
      <formula>"Good"</formula>
    </cfRule>
    <cfRule type="cellIs" dxfId="15" priority="4" operator="equal">
      <formula>"Fair"</formula>
    </cfRule>
  </conditionalFormatting>
  <conditionalFormatting sqref="E50">
    <cfRule type="cellIs" dxfId="14" priority="1" operator="lessThan">
      <formula>0</formula>
    </cfRule>
  </conditionalFormatting>
  <dataValidations count="3">
    <dataValidation type="list" allowBlank="1" showInputMessage="1" showErrorMessage="1" sqref="C21" xr:uid="{4F85D092-DDA5-4847-95E2-39EEF692F66B}">
      <formula1>"Forecast, Semi-Forecast, Evaluative"</formula1>
    </dataValidation>
    <dataValidation type="list" allowBlank="1" showInputMessage="1" showErrorMessage="1" sqref="C36" xr:uid="{B362EACC-6D61-45B9-920C-B148228CB8A8}">
      <formula1>"Fair, Good, Excellent"</formula1>
    </dataValidation>
    <dataValidation type="list" allowBlank="1" showInputMessage="1" showErrorMessage="1" sqref="C22" xr:uid="{0C17DE77-0AB9-4216-8A9B-C7BEF10DA5A6}">
      <formula1>"Low, Medium, High"</formula1>
    </dataValidation>
  </dataValidations>
  <hyperlinks>
    <hyperlink ref="C7" r:id="rId1" xr:uid="{4B36B4F7-8CC0-4C0E-8B5D-F91A36264017}"/>
    <hyperlink ref="D8" r:id="rId2" xr:uid="{00F65DD0-3236-4622-B5E3-0CB7CFE7613F}"/>
    <hyperlink ref="C8" r:id="rId3" xr:uid="{E33E1A1D-97FE-4846-902D-09A54CBA199E}"/>
  </hyperlinks>
  <pageMargins left="0.7" right="0.7" top="0.75" bottom="0.75" header="0.3" footer="0.3"/>
  <pageSetup paperSize="9" scale="49" orientation="portrait" horizontalDpi="1200" verticalDpi="1200" r:id="rId4"/>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B0D58-CF9C-4C2B-8EA9-55D54D47E0AE}">
  <dimension ref="A1:R68"/>
  <sheetViews>
    <sheetView showGridLines="0" topLeftCell="A36" zoomScaleNormal="100" workbookViewId="0">
      <selection activeCell="A35" sqref="A35:XFD35"/>
    </sheetView>
  </sheetViews>
  <sheetFormatPr defaultRowHeight="14.45"/>
  <cols>
    <col min="1" max="1" width="2.85546875" customWidth="1"/>
  </cols>
  <sheetData>
    <row r="1" spans="1:18" ht="18">
      <c r="A1" s="62"/>
      <c r="B1" s="167" t="s">
        <v>75</v>
      </c>
      <c r="C1" s="65"/>
      <c r="D1" s="65"/>
      <c r="E1" s="65"/>
      <c r="F1" s="65"/>
      <c r="G1" s="65"/>
      <c r="H1" s="65"/>
      <c r="I1" s="65"/>
      <c r="J1" s="65"/>
      <c r="K1" s="65"/>
      <c r="L1" s="65"/>
      <c r="M1" s="65"/>
      <c r="N1" s="65"/>
      <c r="O1" s="65"/>
      <c r="P1" s="65"/>
      <c r="Q1" s="65"/>
      <c r="R1" s="66"/>
    </row>
    <row r="2" spans="1:18">
      <c r="A2" s="68"/>
      <c r="R2" s="67"/>
    </row>
    <row r="3" spans="1:18">
      <c r="A3" s="68"/>
      <c r="R3" s="67"/>
    </row>
    <row r="4" spans="1:18">
      <c r="A4" s="68"/>
      <c r="R4" s="67"/>
    </row>
    <row r="5" spans="1:18">
      <c r="A5" s="68"/>
      <c r="R5" s="67"/>
    </row>
    <row r="6" spans="1:18">
      <c r="A6" s="68"/>
      <c r="R6" s="67"/>
    </row>
    <row r="7" spans="1:18">
      <c r="A7" s="68"/>
      <c r="R7" s="67"/>
    </row>
    <row r="8" spans="1:18">
      <c r="A8" s="68"/>
      <c r="R8" s="67"/>
    </row>
    <row r="9" spans="1:18">
      <c r="A9" s="68"/>
      <c r="R9" s="67"/>
    </row>
    <row r="10" spans="1:18">
      <c r="A10" s="68"/>
      <c r="R10" s="67"/>
    </row>
    <row r="11" spans="1:18">
      <c r="A11" s="68"/>
      <c r="R11" s="67"/>
    </row>
    <row r="12" spans="1:18">
      <c r="A12" s="68"/>
      <c r="R12" s="67"/>
    </row>
    <row r="13" spans="1:18">
      <c r="A13" s="68"/>
      <c r="R13" s="67"/>
    </row>
    <row r="14" spans="1:18">
      <c r="A14" s="68"/>
      <c r="R14" s="67"/>
    </row>
    <row r="15" spans="1:18">
      <c r="A15" s="68"/>
      <c r="R15" s="67"/>
    </row>
    <row r="16" spans="1:18">
      <c r="A16" s="68"/>
      <c r="R16" s="67"/>
    </row>
    <row r="17" spans="1:18">
      <c r="A17" s="68"/>
      <c r="R17" s="67"/>
    </row>
    <row r="18" spans="1:18">
      <c r="A18" s="68"/>
      <c r="R18" s="67"/>
    </row>
    <row r="19" spans="1:18">
      <c r="A19" s="68"/>
      <c r="R19" s="67"/>
    </row>
    <row r="20" spans="1:18">
      <c r="A20" s="68"/>
      <c r="R20" s="67"/>
    </row>
    <row r="21" spans="1:18">
      <c r="A21" s="68"/>
      <c r="R21" s="67"/>
    </row>
    <row r="22" spans="1:18">
      <c r="A22" s="68"/>
      <c r="R22" s="67"/>
    </row>
    <row r="23" spans="1:18">
      <c r="A23" s="68"/>
      <c r="R23" s="67"/>
    </row>
    <row r="24" spans="1:18">
      <c r="A24" s="68"/>
      <c r="R24" s="67"/>
    </row>
    <row r="25" spans="1:18">
      <c r="A25" s="68"/>
      <c r="R25" s="67"/>
    </row>
    <row r="26" spans="1:18">
      <c r="A26" s="68"/>
      <c r="R26" s="67"/>
    </row>
    <row r="27" spans="1:18">
      <c r="A27" s="68"/>
      <c r="R27" s="67"/>
    </row>
    <row r="28" spans="1:18">
      <c r="A28" s="68"/>
      <c r="R28" s="67"/>
    </row>
    <row r="29" spans="1:18">
      <c r="A29" s="68"/>
      <c r="R29" s="67"/>
    </row>
    <row r="30" spans="1:18">
      <c r="A30" s="68"/>
      <c r="R30" s="67"/>
    </row>
    <row r="31" spans="1:18">
      <c r="A31" s="68"/>
      <c r="R31" s="67"/>
    </row>
    <row r="32" spans="1:18">
      <c r="A32" s="68"/>
      <c r="R32" s="67"/>
    </row>
    <row r="33" spans="1:18">
      <c r="A33" s="68"/>
      <c r="R33" s="67"/>
    </row>
    <row r="34" spans="1:18">
      <c r="A34" s="68"/>
      <c r="R34" s="67"/>
    </row>
    <row r="35" spans="1:18" ht="18">
      <c r="A35" s="69"/>
      <c r="B35" s="166" t="s">
        <v>76</v>
      </c>
      <c r="C35" s="12"/>
      <c r="D35" s="12"/>
      <c r="E35" s="12"/>
      <c r="F35" s="12"/>
      <c r="G35" s="12"/>
      <c r="H35" s="12"/>
      <c r="I35" s="12"/>
      <c r="J35" s="12"/>
      <c r="K35" s="12"/>
      <c r="L35" s="12"/>
      <c r="M35" s="12"/>
      <c r="N35" s="12"/>
      <c r="O35" s="12"/>
      <c r="P35" s="12"/>
      <c r="Q35" s="12"/>
      <c r="R35" s="71"/>
    </row>
    <row r="36" spans="1:18">
      <c r="A36" s="68"/>
      <c r="R36" s="67"/>
    </row>
    <row r="37" spans="1:18">
      <c r="A37" s="68"/>
      <c r="R37" s="67"/>
    </row>
    <row r="38" spans="1:18">
      <c r="A38" s="68"/>
      <c r="R38" s="67"/>
    </row>
    <row r="39" spans="1:18">
      <c r="A39" s="68"/>
      <c r="R39" s="67"/>
    </row>
    <row r="40" spans="1:18">
      <c r="A40" s="68"/>
      <c r="R40" s="67"/>
    </row>
    <row r="41" spans="1:18">
      <c r="A41" s="68"/>
      <c r="R41" s="67"/>
    </row>
    <row r="42" spans="1:18">
      <c r="A42" s="68"/>
      <c r="R42" s="67"/>
    </row>
    <row r="43" spans="1:18">
      <c r="A43" s="68"/>
      <c r="R43" s="67"/>
    </row>
    <row r="44" spans="1:18">
      <c r="A44" s="68"/>
      <c r="R44" s="67"/>
    </row>
    <row r="45" spans="1:18">
      <c r="A45" s="68"/>
      <c r="R45" s="67"/>
    </row>
    <row r="46" spans="1:18">
      <c r="A46" s="68"/>
      <c r="R46" s="67"/>
    </row>
    <row r="47" spans="1:18">
      <c r="A47" s="68"/>
      <c r="R47" s="67"/>
    </row>
    <row r="48" spans="1:18">
      <c r="A48" s="68"/>
      <c r="R48" s="67"/>
    </row>
    <row r="49" spans="1:18">
      <c r="A49" s="68"/>
      <c r="R49" s="67"/>
    </row>
    <row r="50" spans="1:18">
      <c r="A50" s="68"/>
      <c r="R50" s="67"/>
    </row>
    <row r="51" spans="1:18">
      <c r="A51" s="68"/>
      <c r="R51" s="67"/>
    </row>
    <row r="52" spans="1:18">
      <c r="A52" s="68"/>
      <c r="R52" s="67"/>
    </row>
    <row r="53" spans="1:18">
      <c r="A53" s="68"/>
      <c r="R53" s="67"/>
    </row>
    <row r="54" spans="1:18">
      <c r="A54" s="68"/>
      <c r="R54" s="67"/>
    </row>
    <row r="55" spans="1:18">
      <c r="A55" s="68"/>
      <c r="R55" s="67"/>
    </row>
    <row r="56" spans="1:18">
      <c r="A56" s="68"/>
      <c r="R56" s="67"/>
    </row>
    <row r="57" spans="1:18">
      <c r="A57" s="68"/>
      <c r="R57" s="67"/>
    </row>
    <row r="58" spans="1:18">
      <c r="A58" s="68"/>
      <c r="R58" s="67"/>
    </row>
    <row r="59" spans="1:18">
      <c r="A59" s="68"/>
      <c r="R59" s="67"/>
    </row>
    <row r="60" spans="1:18">
      <c r="A60" s="68"/>
      <c r="R60" s="67"/>
    </row>
    <row r="61" spans="1:18">
      <c r="A61" s="68"/>
      <c r="R61" s="67"/>
    </row>
    <row r="62" spans="1:18">
      <c r="A62" s="68"/>
      <c r="R62" s="67"/>
    </row>
    <row r="63" spans="1:18">
      <c r="A63" s="68"/>
      <c r="R63" s="67"/>
    </row>
    <row r="64" spans="1:18">
      <c r="A64" s="68"/>
      <c r="R64" s="67"/>
    </row>
    <row r="65" spans="1:18">
      <c r="A65" s="68"/>
      <c r="R65" s="67"/>
    </row>
    <row r="66" spans="1:18">
      <c r="A66" s="68"/>
      <c r="R66" s="67"/>
    </row>
    <row r="67" spans="1:18">
      <c r="A67" s="68"/>
      <c r="R67" s="67"/>
    </row>
    <row r="68" spans="1:18">
      <c r="A68" s="73"/>
      <c r="B68" s="74"/>
      <c r="C68" s="74"/>
      <c r="D68" s="74"/>
      <c r="E68" s="74"/>
      <c r="F68" s="74"/>
      <c r="G68" s="74"/>
      <c r="H68" s="74"/>
      <c r="I68" s="74"/>
      <c r="J68" s="74"/>
      <c r="K68" s="74"/>
      <c r="L68" s="74"/>
      <c r="M68" s="74"/>
      <c r="N68" s="74"/>
      <c r="O68" s="74"/>
      <c r="P68" s="74"/>
      <c r="Q68" s="74"/>
      <c r="R68" s="7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37F8-203B-44F8-B408-7D42B97454D4}">
  <dimension ref="A1:Q56"/>
  <sheetViews>
    <sheetView showGridLines="0" tabSelected="1" topLeftCell="A43" zoomScaleNormal="100" workbookViewId="0">
      <selection activeCell="E82" sqref="E82"/>
    </sheetView>
  </sheetViews>
  <sheetFormatPr defaultColWidth="9.42578125" defaultRowHeight="14.45"/>
  <cols>
    <col min="1" max="1" width="5.140625" customWidth="1"/>
    <col min="2" max="2" width="54.42578125" customWidth="1"/>
    <col min="3" max="3" width="16.5703125" customWidth="1"/>
    <col min="4" max="4" width="18.42578125" customWidth="1"/>
    <col min="5" max="6" width="12.5703125" customWidth="1"/>
    <col min="10" max="10" width="14.42578125" customWidth="1"/>
    <col min="11" max="11" width="13.42578125" customWidth="1"/>
    <col min="12" max="12" width="12" customWidth="1"/>
    <col min="16" max="16" width="14.42578125" customWidth="1"/>
    <col min="17" max="17" width="8.5703125" customWidth="1"/>
  </cols>
  <sheetData>
    <row r="1" spans="1:17" ht="18">
      <c r="A1" s="106"/>
      <c r="B1" s="166" t="s">
        <v>77</v>
      </c>
      <c r="C1" s="106"/>
      <c r="D1" s="117"/>
      <c r="E1" s="12"/>
      <c r="F1" s="12"/>
      <c r="G1" s="12"/>
      <c r="H1" s="12"/>
      <c r="I1" s="12"/>
      <c r="J1" s="12"/>
      <c r="K1" s="12"/>
      <c r="L1" s="12"/>
      <c r="M1" s="12"/>
      <c r="N1" s="12"/>
      <c r="O1" s="12"/>
      <c r="P1" s="12"/>
      <c r="Q1" s="71"/>
    </row>
    <row r="2" spans="1:17" ht="18">
      <c r="A2" s="68"/>
      <c r="B2" s="105"/>
      <c r="C2" s="115"/>
      <c r="D2" s="116"/>
      <c r="Q2" s="67"/>
    </row>
    <row r="3" spans="1:17">
      <c r="A3" s="68"/>
      <c r="B3" s="174" t="s">
        <v>78</v>
      </c>
      <c r="C3" s="188" t="s">
        <v>79</v>
      </c>
      <c r="E3" s="206" t="s">
        <v>80</v>
      </c>
      <c r="F3" s="206"/>
      <c r="G3" s="206"/>
      <c r="H3" s="206"/>
      <c r="I3" s="206"/>
      <c r="J3" s="206"/>
      <c r="Q3" s="67"/>
    </row>
    <row r="4" spans="1:17">
      <c r="A4" s="68"/>
      <c r="B4" s="175" t="s">
        <v>81</v>
      </c>
      <c r="C4" s="189">
        <v>2021</v>
      </c>
      <c r="E4" s="207" t="s">
        <v>82</v>
      </c>
      <c r="F4" s="207"/>
      <c r="G4" s="207"/>
      <c r="H4" s="207"/>
      <c r="I4" s="207"/>
      <c r="J4" s="207"/>
      <c r="Q4" s="67"/>
    </row>
    <row r="5" spans="1:17">
      <c r="A5" s="68"/>
      <c r="B5" s="175" t="s">
        <v>83</v>
      </c>
      <c r="C5" s="189">
        <v>2022</v>
      </c>
      <c r="E5" s="240" t="s">
        <v>84</v>
      </c>
      <c r="F5" s="240"/>
      <c r="G5" s="240"/>
      <c r="H5" s="240"/>
      <c r="I5" s="240"/>
      <c r="J5" s="240"/>
      <c r="Q5" s="67"/>
    </row>
    <row r="6" spans="1:17">
      <c r="A6" s="68"/>
      <c r="B6" s="175" t="s">
        <v>85</v>
      </c>
      <c r="C6" s="189">
        <v>2021</v>
      </c>
      <c r="Q6" s="67"/>
    </row>
    <row r="7" spans="1:17">
      <c r="A7" s="68"/>
      <c r="B7" s="175" t="s">
        <v>86</v>
      </c>
      <c r="C7" s="189" t="s">
        <v>87</v>
      </c>
      <c r="Q7" s="67"/>
    </row>
    <row r="8" spans="1:17">
      <c r="A8" s="68"/>
      <c r="Q8" s="67"/>
    </row>
    <row r="9" spans="1:17" ht="18">
      <c r="A9" s="107"/>
      <c r="B9" s="166" t="s">
        <v>88</v>
      </c>
      <c r="C9" s="108"/>
      <c r="D9" s="108"/>
      <c r="E9" s="108"/>
      <c r="F9" s="108"/>
      <c r="G9" s="108"/>
      <c r="H9" s="108"/>
      <c r="I9" s="108"/>
      <c r="J9" s="108"/>
      <c r="K9" s="108"/>
      <c r="L9" s="108"/>
      <c r="M9" s="108"/>
      <c r="N9" s="108"/>
      <c r="O9" s="108"/>
      <c r="P9" s="108"/>
      <c r="Q9" s="70"/>
    </row>
    <row r="10" spans="1:17">
      <c r="A10" s="68"/>
      <c r="Q10" s="67"/>
    </row>
    <row r="11" spans="1:17">
      <c r="A11" s="68"/>
      <c r="B11" s="182" t="s">
        <v>89</v>
      </c>
      <c r="C11" s="182" t="s">
        <v>90</v>
      </c>
      <c r="Q11" s="67"/>
    </row>
    <row r="12" spans="1:17">
      <c r="A12" s="68"/>
      <c r="B12" s="241" t="s">
        <v>91</v>
      </c>
      <c r="C12" s="242">
        <v>0.1</v>
      </c>
      <c r="Q12" s="67"/>
    </row>
    <row r="13" spans="1:17">
      <c r="A13" s="68"/>
      <c r="N13" s="243"/>
      <c r="O13" s="243"/>
      <c r="Q13" s="67"/>
    </row>
    <row r="14" spans="1:17">
      <c r="A14" s="68"/>
      <c r="B14" s="182" t="s">
        <v>89</v>
      </c>
      <c r="C14" s="182" t="s">
        <v>90</v>
      </c>
      <c r="D14" s="182" t="s">
        <v>92</v>
      </c>
      <c r="N14" s="243"/>
      <c r="O14" s="243"/>
      <c r="Q14" s="67"/>
    </row>
    <row r="15" spans="1:17">
      <c r="A15" s="68"/>
      <c r="B15" s="241" t="s">
        <v>93</v>
      </c>
      <c r="C15" s="244">
        <v>7.2999999999999995E-2</v>
      </c>
      <c r="D15" s="190" t="s">
        <v>94</v>
      </c>
      <c r="Q15" s="67"/>
    </row>
    <row r="16" spans="1:17">
      <c r="A16" s="68"/>
      <c r="C16" s="245"/>
      <c r="Q16" s="67"/>
    </row>
    <row r="17" spans="1:17">
      <c r="A17" s="68"/>
      <c r="B17" s="245"/>
      <c r="C17" s="245"/>
      <c r="D17" s="246"/>
      <c r="Q17" s="67"/>
    </row>
    <row r="18" spans="1:17">
      <c r="A18" s="68"/>
      <c r="B18" s="109" t="s">
        <v>95</v>
      </c>
      <c r="C18" s="110"/>
      <c r="D18" s="111"/>
      <c r="Q18" s="67"/>
    </row>
    <row r="19" spans="1:17">
      <c r="A19" s="68"/>
      <c r="B19" s="182" t="s">
        <v>89</v>
      </c>
      <c r="C19" s="182" t="s">
        <v>90</v>
      </c>
      <c r="D19" s="182" t="s">
        <v>92</v>
      </c>
      <c r="Q19" s="67"/>
    </row>
    <row r="20" spans="1:17">
      <c r="A20" s="68"/>
      <c r="B20" s="247" t="s">
        <v>96</v>
      </c>
      <c r="C20" s="248">
        <v>50</v>
      </c>
      <c r="D20" s="249" t="s">
        <v>97</v>
      </c>
      <c r="Q20" s="67"/>
    </row>
    <row r="21" spans="1:17">
      <c r="A21" s="68"/>
      <c r="B21" s="247" t="s">
        <v>98</v>
      </c>
      <c r="C21" s="250">
        <v>0.01</v>
      </c>
      <c r="D21" s="251"/>
      <c r="E21" t="s">
        <v>99</v>
      </c>
      <c r="Q21" s="67"/>
    </row>
    <row r="22" spans="1:17">
      <c r="A22" s="68"/>
      <c r="B22" s="247" t="s">
        <v>100</v>
      </c>
      <c r="C22" s="248">
        <v>52</v>
      </c>
      <c r="D22" s="252"/>
      <c r="Q22" s="67"/>
    </row>
    <row r="23" spans="1:17" ht="15" customHeight="1">
      <c r="A23" s="195"/>
      <c r="C23" s="197"/>
      <c r="D23" s="198"/>
      <c r="E23" s="196"/>
      <c r="F23" s="196"/>
      <c r="G23" s="198"/>
      <c r="H23" s="198"/>
      <c r="I23" s="198"/>
      <c r="J23" s="198"/>
      <c r="K23" s="198"/>
      <c r="L23" s="198"/>
      <c r="M23" s="198"/>
      <c r="N23" s="198"/>
      <c r="O23" s="195"/>
      <c r="P23" s="199"/>
    </row>
    <row r="24" spans="1:17">
      <c r="A24" s="68"/>
      <c r="B24" s="196" t="s">
        <v>101</v>
      </c>
      <c r="Q24" s="67"/>
    </row>
    <row r="25" spans="1:17">
      <c r="A25" s="68"/>
      <c r="B25" s="183" t="s">
        <v>102</v>
      </c>
      <c r="C25" s="183">
        <v>2020</v>
      </c>
      <c r="D25" s="183">
        <v>2021</v>
      </c>
      <c r="E25" s="183">
        <v>2022</v>
      </c>
      <c r="F25" s="183">
        <v>2023</v>
      </c>
      <c r="G25" s="183">
        <v>2024</v>
      </c>
      <c r="H25" s="183">
        <v>2025</v>
      </c>
      <c r="I25" s="183">
        <v>2026</v>
      </c>
      <c r="J25" s="183">
        <v>2027</v>
      </c>
      <c r="K25" s="183">
        <v>2028</v>
      </c>
      <c r="L25" s="183">
        <v>2029</v>
      </c>
      <c r="M25" s="183">
        <v>2030</v>
      </c>
      <c r="N25" s="183">
        <v>2031</v>
      </c>
      <c r="O25" s="183">
        <v>2032</v>
      </c>
      <c r="P25" s="110"/>
      <c r="Q25" s="67"/>
    </row>
    <row r="26" spans="1:17">
      <c r="A26" s="68"/>
      <c r="B26" s="247" t="s">
        <v>103</v>
      </c>
      <c r="C26" s="248">
        <v>60</v>
      </c>
      <c r="D26" s="248">
        <f>AVERAGE(C26,E26)</f>
        <v>89</v>
      </c>
      <c r="E26" s="248">
        <v>118</v>
      </c>
      <c r="F26" s="248">
        <v>170</v>
      </c>
      <c r="G26" s="253">
        <f>AVERAGE($C$26:$F$26)</f>
        <v>109.25</v>
      </c>
      <c r="H26" s="253">
        <f t="shared" ref="H26:O26" si="0">AVERAGE($C$26:$F$26)</f>
        <v>109.25</v>
      </c>
      <c r="I26" s="253">
        <f t="shared" si="0"/>
        <v>109.25</v>
      </c>
      <c r="J26" s="253">
        <f t="shared" si="0"/>
        <v>109.25</v>
      </c>
      <c r="K26" s="253">
        <f t="shared" si="0"/>
        <v>109.25</v>
      </c>
      <c r="L26" s="253">
        <f t="shared" si="0"/>
        <v>109.25</v>
      </c>
      <c r="M26" s="253">
        <f t="shared" si="0"/>
        <v>109.25</v>
      </c>
      <c r="N26" s="253">
        <f t="shared" si="0"/>
        <v>109.25</v>
      </c>
      <c r="O26" s="253">
        <f t="shared" si="0"/>
        <v>109.25</v>
      </c>
      <c r="P26" s="112"/>
      <c r="Q26" s="67"/>
    </row>
    <row r="27" spans="1:17">
      <c r="A27" s="68"/>
      <c r="B27" s="247" t="s">
        <v>104</v>
      </c>
      <c r="C27" s="248">
        <f>C26/(C47/'Model input'!$D$47)</f>
        <v>72.638114217657389</v>
      </c>
      <c r="D27" s="248">
        <f>D26/(D47/'Model input'!$D$47)</f>
        <v>89</v>
      </c>
      <c r="E27" s="248">
        <f>E26/(E47/'Model input'!$D$47)</f>
        <v>88.489226026997017</v>
      </c>
      <c r="F27" s="248">
        <f>F26/(F47/'Model input'!$D$47)</f>
        <v>96.434951252462241</v>
      </c>
      <c r="G27" s="253">
        <f>AVERAGE($C$27:$F$27)</f>
        <v>86.640572874279172</v>
      </c>
      <c r="H27" s="253">
        <f t="shared" ref="H27:O27" si="1">AVERAGE($C$27:$F$27)</f>
        <v>86.640572874279172</v>
      </c>
      <c r="I27" s="253">
        <f t="shared" si="1"/>
        <v>86.640572874279172</v>
      </c>
      <c r="J27" s="253">
        <f t="shared" si="1"/>
        <v>86.640572874279172</v>
      </c>
      <c r="K27" s="253">
        <f t="shared" si="1"/>
        <v>86.640572874279172</v>
      </c>
      <c r="L27" s="253">
        <f t="shared" si="1"/>
        <v>86.640572874279172</v>
      </c>
      <c r="M27" s="253">
        <f t="shared" si="1"/>
        <v>86.640572874279172</v>
      </c>
      <c r="N27" s="253">
        <f t="shared" si="1"/>
        <v>86.640572874279172</v>
      </c>
      <c r="O27" s="253">
        <f t="shared" si="1"/>
        <v>86.640572874279172</v>
      </c>
      <c r="P27" s="243"/>
      <c r="Q27" s="67"/>
    </row>
    <row r="28" spans="1:17">
      <c r="A28" s="68"/>
      <c r="B28" s="254"/>
      <c r="C28" s="255"/>
      <c r="D28" s="255"/>
      <c r="E28" s="255"/>
      <c r="F28" s="255"/>
      <c r="G28" s="255"/>
      <c r="H28" s="255"/>
      <c r="I28" s="255"/>
      <c r="J28" s="255"/>
      <c r="K28" s="255"/>
      <c r="L28" s="255"/>
      <c r="M28" s="255"/>
      <c r="N28" s="255"/>
      <c r="O28" s="191"/>
      <c r="Q28" s="67"/>
    </row>
    <row r="29" spans="1:17">
      <c r="A29" s="68"/>
      <c r="B29" s="109" t="s">
        <v>105</v>
      </c>
      <c r="C29" s="194"/>
      <c r="D29" s="256"/>
      <c r="E29" s="255"/>
      <c r="F29" s="255"/>
      <c r="G29" s="255"/>
      <c r="H29" s="255"/>
      <c r="I29" s="255"/>
      <c r="J29" s="255"/>
      <c r="K29" s="255"/>
      <c r="L29" s="255"/>
      <c r="M29" s="255"/>
      <c r="N29" s="191"/>
      <c r="O29" s="191"/>
      <c r="Q29" s="67"/>
    </row>
    <row r="30" spans="1:17" ht="28.9">
      <c r="A30" s="68"/>
      <c r="B30" s="184" t="s">
        <v>102</v>
      </c>
      <c r="C30" s="184" t="s">
        <v>106</v>
      </c>
      <c r="D30" s="184" t="s">
        <v>107</v>
      </c>
      <c r="E30" s="184" t="s">
        <v>108</v>
      </c>
      <c r="F30" s="184" t="s">
        <v>109</v>
      </c>
      <c r="G30" s="184" t="s">
        <v>110</v>
      </c>
      <c r="H30" s="184" t="s">
        <v>111</v>
      </c>
      <c r="I30" s="184" t="s">
        <v>112</v>
      </c>
      <c r="J30" s="184" t="s">
        <v>113</v>
      </c>
      <c r="K30" s="184" t="s">
        <v>114</v>
      </c>
      <c r="L30" s="192" t="s">
        <v>92</v>
      </c>
      <c r="M30" s="191"/>
      <c r="N30" s="191"/>
      <c r="O30" s="191"/>
      <c r="Q30" s="67"/>
    </row>
    <row r="31" spans="1:17" ht="15" customHeight="1">
      <c r="A31" s="68"/>
      <c r="B31" s="241" t="s">
        <v>115</v>
      </c>
      <c r="C31" s="257">
        <f>C32*0</f>
        <v>0</v>
      </c>
      <c r="D31" s="257">
        <f>D32*0.6363*SROI!$C$13</f>
        <v>0.69993000000000005</v>
      </c>
      <c r="E31" s="257">
        <f>E32*(1 +((2.8888 - 1) * SROI!$C$13))</f>
        <v>2.59992</v>
      </c>
      <c r="F31" s="257">
        <f>F32*(1 +((2.5384 - 1) * SROI!$C$13))</f>
        <v>3.2999200000000002</v>
      </c>
      <c r="G31" s="257">
        <f>G32*(1 +((2.8 - 1) * SROI!$C$13))</f>
        <v>2.8</v>
      </c>
      <c r="H31" s="257">
        <f>H32*(1 +((2 - 1) * SROI!$C$13))</f>
        <v>2.6</v>
      </c>
      <c r="I31" s="257">
        <f>I32*(1 +((1.5625 - 1) * SROI!$C$13))</f>
        <v>2.5</v>
      </c>
      <c r="J31" s="257">
        <f>J32*(1 +((1.5 - 1) * SROI!$C$13))</f>
        <v>2.4000000000000004</v>
      </c>
      <c r="K31" s="257">
        <f>K32*(1 +((2 - 1) * SROI!$C$13))</f>
        <v>2.2000000000000002</v>
      </c>
      <c r="L31" s="258" t="s">
        <v>116</v>
      </c>
      <c r="M31" s="191"/>
      <c r="N31" s="191"/>
      <c r="O31" s="191"/>
      <c r="Q31" s="67"/>
    </row>
    <row r="32" spans="1:17">
      <c r="A32" s="68"/>
      <c r="B32" s="259" t="s">
        <v>117</v>
      </c>
      <c r="C32" s="257">
        <f>1.1*SROI!$C$11</f>
        <v>1.1000000000000001</v>
      </c>
      <c r="D32" s="257">
        <f>1.1*SROI!$C$11</f>
        <v>1.1000000000000001</v>
      </c>
      <c r="E32" s="257">
        <f>0.9*SROI!$C$11</f>
        <v>0.9</v>
      </c>
      <c r="F32" s="257">
        <f>1.3*SROI!$C$11</f>
        <v>1.3</v>
      </c>
      <c r="G32" s="257">
        <f>1*SROI!$C$11</f>
        <v>1</v>
      </c>
      <c r="H32" s="257">
        <f>1.3*SROI!$C$11</f>
        <v>1.3</v>
      </c>
      <c r="I32" s="257">
        <f>1.6*SROI!$C$11</f>
        <v>1.6</v>
      </c>
      <c r="J32" s="257">
        <f>1.6*SROI!$C$11</f>
        <v>1.6</v>
      </c>
      <c r="K32" s="257">
        <f>1.1*SROI!$C$11</f>
        <v>1.1000000000000001</v>
      </c>
      <c r="L32" s="260"/>
      <c r="M32" s="191"/>
      <c r="N32" s="191"/>
      <c r="O32" s="191"/>
      <c r="Q32" s="67"/>
    </row>
    <row r="33" spans="1:17">
      <c r="A33" s="68"/>
      <c r="B33" s="261" t="s">
        <v>118</v>
      </c>
      <c r="C33" s="262">
        <f>C31-C32</f>
        <v>-1.1000000000000001</v>
      </c>
      <c r="D33" s="262">
        <f t="shared" ref="D33:K33" si="2">D31-D32</f>
        <v>-0.40007000000000004</v>
      </c>
      <c r="E33" s="262">
        <f t="shared" si="2"/>
        <v>1.6999200000000001</v>
      </c>
      <c r="F33" s="262">
        <f t="shared" si="2"/>
        <v>1.9999200000000001</v>
      </c>
      <c r="G33" s="262">
        <f t="shared" si="2"/>
        <v>1.7999999999999998</v>
      </c>
      <c r="H33" s="262">
        <f t="shared" si="2"/>
        <v>1.3</v>
      </c>
      <c r="I33" s="262">
        <f t="shared" si="2"/>
        <v>0.89999999999999991</v>
      </c>
      <c r="J33" s="262">
        <f t="shared" si="2"/>
        <v>0.80000000000000027</v>
      </c>
      <c r="K33" s="262">
        <f t="shared" si="2"/>
        <v>1.1000000000000001</v>
      </c>
      <c r="L33" s="260"/>
      <c r="M33" s="191"/>
      <c r="N33" s="255"/>
      <c r="O33" s="255"/>
      <c r="Q33" s="67"/>
    </row>
    <row r="34" spans="1:17">
      <c r="A34" s="68"/>
      <c r="B34" s="193" t="s">
        <v>119</v>
      </c>
      <c r="C34" s="263">
        <f>C33/C32</f>
        <v>-1</v>
      </c>
      <c r="D34" s="263">
        <f t="shared" ref="D34:K34" si="3">D33/D32</f>
        <v>-0.36370000000000002</v>
      </c>
      <c r="E34" s="263">
        <f t="shared" si="3"/>
        <v>1.8888</v>
      </c>
      <c r="F34" s="263">
        <f t="shared" si="3"/>
        <v>1.5384</v>
      </c>
      <c r="G34" s="263">
        <f t="shared" si="3"/>
        <v>1.7999999999999998</v>
      </c>
      <c r="H34" s="263">
        <f t="shared" si="3"/>
        <v>1</v>
      </c>
      <c r="I34" s="263">
        <f t="shared" si="3"/>
        <v>0.56249999999999989</v>
      </c>
      <c r="J34" s="263">
        <f t="shared" si="3"/>
        <v>0.50000000000000011</v>
      </c>
      <c r="K34" s="263">
        <f t="shared" si="3"/>
        <v>1</v>
      </c>
      <c r="L34" s="264"/>
      <c r="M34" s="191"/>
      <c r="N34" s="255"/>
      <c r="O34" s="255"/>
      <c r="Q34" s="67"/>
    </row>
    <row r="35" spans="1:17">
      <c r="A35" s="68"/>
      <c r="C35" s="191"/>
      <c r="D35" s="191"/>
      <c r="E35" s="191"/>
      <c r="F35" s="191"/>
      <c r="G35" s="191"/>
      <c r="H35" s="191"/>
      <c r="I35" s="191"/>
      <c r="J35" s="191"/>
      <c r="K35" s="191"/>
      <c r="L35" s="191"/>
      <c r="M35" s="191"/>
      <c r="N35" s="255"/>
      <c r="O35" s="255"/>
      <c r="Q35" s="67"/>
    </row>
    <row r="36" spans="1:17">
      <c r="A36" s="68"/>
      <c r="B36" s="109" t="s">
        <v>120</v>
      </c>
      <c r="C36" s="191"/>
      <c r="D36" s="191"/>
      <c r="E36" s="191"/>
      <c r="F36" s="191"/>
      <c r="G36" s="191"/>
      <c r="H36" s="191"/>
      <c r="I36" s="191"/>
      <c r="J36" s="191"/>
      <c r="K36" s="191"/>
      <c r="L36" s="191"/>
      <c r="M36" s="191"/>
      <c r="N36" s="255"/>
      <c r="O36" s="255"/>
      <c r="Q36" s="67"/>
    </row>
    <row r="37" spans="1:17">
      <c r="A37" s="68"/>
      <c r="B37" s="184" t="s">
        <v>102</v>
      </c>
      <c r="C37" s="184">
        <v>2021</v>
      </c>
      <c r="D37" s="184">
        <v>2022</v>
      </c>
      <c r="E37" s="184">
        <v>2023</v>
      </c>
      <c r="F37" s="184">
        <v>2024</v>
      </c>
      <c r="G37" s="184">
        <v>2025</v>
      </c>
      <c r="H37" s="184">
        <v>2026</v>
      </c>
      <c r="I37" s="184">
        <v>2027</v>
      </c>
      <c r="J37" s="184">
        <v>2028</v>
      </c>
      <c r="K37" s="184">
        <v>2029</v>
      </c>
      <c r="L37" s="184">
        <v>2030</v>
      </c>
      <c r="M37" s="184">
        <v>2031</v>
      </c>
      <c r="N37" s="184">
        <v>2032</v>
      </c>
      <c r="O37" s="191"/>
      <c r="Q37" s="67"/>
    </row>
    <row r="38" spans="1:17">
      <c r="A38" s="68"/>
      <c r="B38" s="247" t="s">
        <v>121</v>
      </c>
      <c r="C38" s="248">
        <v>35</v>
      </c>
      <c r="D38" s="248">
        <v>50</v>
      </c>
      <c r="E38" s="248">
        <v>31</v>
      </c>
      <c r="F38" s="265">
        <v>67</v>
      </c>
      <c r="G38" s="265">
        <v>175</v>
      </c>
      <c r="H38" s="253">
        <f>AVERAGE($C$38:$G$38)*(1+SROI!$C$7)</f>
        <v>71.599999999999994</v>
      </c>
      <c r="I38" s="253">
        <f>AVERAGE($C$38:$G$38)*(1+SROI!$C$7)</f>
        <v>71.599999999999994</v>
      </c>
      <c r="J38" s="253">
        <f>AVERAGE($C$38:$G$38)*(1+SROI!$C$7)</f>
        <v>71.599999999999994</v>
      </c>
      <c r="K38" s="253">
        <f>AVERAGE($C$38:$G$38)*(1+SROI!$C$7)</f>
        <v>71.599999999999994</v>
      </c>
      <c r="L38" s="253">
        <f>AVERAGE($C$38:$G$38)*(1+SROI!$C$7)</f>
        <v>71.599999999999994</v>
      </c>
      <c r="M38" s="253">
        <f>AVERAGE($C$38:$G$38)*(1+SROI!$C$7)</f>
        <v>71.599999999999994</v>
      </c>
      <c r="N38" s="253">
        <f>AVERAGE($C$38:$G$38)*(1+SROI!$C$7)</f>
        <v>71.599999999999994</v>
      </c>
      <c r="O38" s="191"/>
      <c r="Q38" s="266"/>
    </row>
    <row r="39" spans="1:17">
      <c r="A39" s="68"/>
      <c r="B39" s="247" t="s">
        <v>122</v>
      </c>
      <c r="C39" s="267">
        <f>C38/(D47/'Model input'!$E$47)</f>
        <v>46.672348549415332</v>
      </c>
      <c r="D39" s="267">
        <f>D38/(E47/'Model input'!$E$47)</f>
        <v>50</v>
      </c>
      <c r="E39" s="267">
        <f>E38/(F47/'Model input'!$E$47)</f>
        <v>23.449784096340277</v>
      </c>
      <c r="F39" s="267">
        <f>F38/(G47/'Model input'!$E$47)</f>
        <v>40.647825595642992</v>
      </c>
      <c r="G39" s="267">
        <f>G38/(H47/'Model input'!$E$47)</f>
        <v>85.812938096142076</v>
      </c>
      <c r="H39" s="253">
        <f>AVERAGE($C$39:$G$39)*(1+SROI!$C$7)</f>
        <v>49.316579267508132</v>
      </c>
      <c r="I39" s="253">
        <f>AVERAGE($C$39:$G$39)*(1+SROI!$C$7)</f>
        <v>49.316579267508132</v>
      </c>
      <c r="J39" s="253">
        <f>AVERAGE($C$39:$G$39)*(1+SROI!$C$7)</f>
        <v>49.316579267508132</v>
      </c>
      <c r="K39" s="253">
        <f>AVERAGE($C$39:$G$39)*(1+SROI!$C$7)</f>
        <v>49.316579267508132</v>
      </c>
      <c r="L39" s="253">
        <f>AVERAGE($C$39:$G$39)*(1+SROI!$C$7)</f>
        <v>49.316579267508132</v>
      </c>
      <c r="M39" s="253">
        <f>AVERAGE($C$39:$G$39)*(1+SROI!$C$7)</f>
        <v>49.316579267508132</v>
      </c>
      <c r="N39" s="253">
        <f>AVERAGE($C$39:$G$39)*(1+SROI!$C$7)</f>
        <v>49.316579267508132</v>
      </c>
      <c r="O39" s="191"/>
      <c r="Q39" s="67"/>
    </row>
    <row r="40" spans="1:17">
      <c r="A40" s="68"/>
      <c r="B40" s="247" t="s">
        <v>123</v>
      </c>
      <c r="C40" s="267">
        <f>C38/(D47/'Model input'!$D$47)</f>
        <v>35</v>
      </c>
      <c r="D40" s="267">
        <f>D38/(E47/'Model input'!$D$47)</f>
        <v>37.495434757202126</v>
      </c>
      <c r="E40" s="267">
        <f>E38/(F47/'Model input'!$D$47)</f>
        <v>17.585196993096055</v>
      </c>
      <c r="F40" s="267">
        <f>F38/(G47/'Model input'!$D$47)</f>
        <v>30.482157852871246</v>
      </c>
      <c r="G40" s="267">
        <f>G38/(H47/'Model input'!$D$47)</f>
        <v>64.351868434154397</v>
      </c>
      <c r="H40" s="253">
        <f>AVERAGE($C$40:$G$40)*(1+SROI!$C$7)</f>
        <v>36.982931607464764</v>
      </c>
      <c r="I40" s="253">
        <f>AVERAGE($C$40:$G$40)*(1+SROI!$C$7)</f>
        <v>36.982931607464764</v>
      </c>
      <c r="J40" s="253">
        <f>AVERAGE($C$40:$G$40)*(1+SROI!$C$7)</f>
        <v>36.982931607464764</v>
      </c>
      <c r="K40" s="253">
        <f>AVERAGE($C$40:$G$40)*(1+SROI!$C$7)</f>
        <v>36.982931607464764</v>
      </c>
      <c r="L40" s="253">
        <f>AVERAGE($C$40:$G$40)*(1+SROI!$C$7)</f>
        <v>36.982931607464764</v>
      </c>
      <c r="M40" s="253">
        <f>AVERAGE($C$40:$G$40)*(1+SROI!$C$7)</f>
        <v>36.982931607464764</v>
      </c>
      <c r="N40" s="253">
        <f>AVERAGE($C$40:$G$40)*(1+SROI!$C$7)</f>
        <v>36.982931607464764</v>
      </c>
      <c r="O40" s="191"/>
      <c r="P40" s="268"/>
      <c r="Q40" s="266"/>
    </row>
    <row r="41" spans="1:17">
      <c r="C41" s="185"/>
      <c r="D41" s="185"/>
      <c r="E41" s="185"/>
      <c r="F41" s="185"/>
      <c r="G41" s="185"/>
      <c r="H41" s="185"/>
      <c r="I41" s="185"/>
      <c r="J41" s="185"/>
      <c r="K41" s="185"/>
      <c r="L41" s="185"/>
      <c r="M41" s="185"/>
      <c r="N41" s="185"/>
      <c r="Q41" s="179"/>
    </row>
    <row r="42" spans="1:17">
      <c r="A42" s="68"/>
      <c r="B42" s="254"/>
      <c r="C42" s="79"/>
      <c r="D42" s="79"/>
      <c r="E42" s="79"/>
      <c r="F42" s="79"/>
      <c r="G42" s="79"/>
      <c r="H42" s="79"/>
      <c r="I42" s="268"/>
      <c r="J42" s="268"/>
      <c r="K42" s="268"/>
      <c r="L42" s="268"/>
      <c r="M42" s="268"/>
      <c r="N42" s="268"/>
      <c r="O42" s="268"/>
      <c r="Q42" s="67"/>
    </row>
    <row r="43" spans="1:17" ht="18">
      <c r="A43" s="107"/>
      <c r="B43" s="166" t="s">
        <v>124</v>
      </c>
      <c r="C43" s="12"/>
      <c r="D43" s="12"/>
      <c r="E43" s="12"/>
      <c r="F43" s="12"/>
      <c r="G43" s="12"/>
      <c r="H43" s="12"/>
      <c r="I43" s="12"/>
      <c r="J43" s="12"/>
      <c r="K43" s="12"/>
      <c r="L43" s="12"/>
      <c r="M43" s="12"/>
      <c r="N43" s="12"/>
      <c r="O43" s="12"/>
      <c r="P43" s="12"/>
      <c r="Q43" s="71"/>
    </row>
    <row r="44" spans="1:17" ht="18">
      <c r="A44" s="68"/>
      <c r="B44" s="105"/>
      <c r="C44" s="105"/>
      <c r="D44" s="105"/>
      <c r="E44" s="105"/>
      <c r="F44" s="105"/>
      <c r="G44" s="105"/>
      <c r="H44" s="105"/>
      <c r="I44" s="105"/>
      <c r="J44" s="105"/>
      <c r="K44" s="105"/>
      <c r="L44" s="105"/>
      <c r="M44" s="105"/>
      <c r="N44" s="105"/>
      <c r="O44" s="105"/>
      <c r="P44" s="105"/>
      <c r="Q44" s="94"/>
    </row>
    <row r="45" spans="1:17">
      <c r="A45" s="68"/>
      <c r="B45" s="113" t="s">
        <v>125</v>
      </c>
      <c r="Q45" s="67"/>
    </row>
    <row r="46" spans="1:17">
      <c r="A46" s="68"/>
      <c r="B46" s="183" t="s">
        <v>102</v>
      </c>
      <c r="C46" s="181">
        <v>2020</v>
      </c>
      <c r="D46" s="181">
        <v>2021</v>
      </c>
      <c r="E46" s="181">
        <v>2022</v>
      </c>
      <c r="F46" s="181">
        <v>2023</v>
      </c>
      <c r="G46" s="181">
        <v>2024</v>
      </c>
      <c r="H46" s="181">
        <v>2025</v>
      </c>
      <c r="I46" s="181" t="s">
        <v>126</v>
      </c>
      <c r="Q46" s="67"/>
    </row>
    <row r="47" spans="1:17" s="13" customFormat="1">
      <c r="A47" s="72"/>
      <c r="B47" s="173" t="s">
        <v>127</v>
      </c>
      <c r="C47" s="187">
        <v>169.60599999999999</v>
      </c>
      <c r="D47" s="187">
        <v>205.33099999999999</v>
      </c>
      <c r="E47" s="187">
        <v>273.80799999999999</v>
      </c>
      <c r="F47" s="187">
        <v>361.96699999999998</v>
      </c>
      <c r="G47" s="187">
        <v>451.31900000000002</v>
      </c>
      <c r="H47" s="269">
        <v>558.38199999999995</v>
      </c>
      <c r="I47" s="200" t="s">
        <v>128</v>
      </c>
      <c r="J47"/>
      <c r="N47"/>
      <c r="O47"/>
      <c r="P47"/>
      <c r="Q47" s="67"/>
    </row>
    <row r="48" spans="1:17" s="13" customFormat="1">
      <c r="A48" s="72"/>
      <c r="B48" s="173" t="s">
        <v>129</v>
      </c>
      <c r="C48" s="187">
        <v>100.003</v>
      </c>
      <c r="D48" s="187">
        <v>102.80500000000001</v>
      </c>
      <c r="E48" s="187">
        <v>109.071</v>
      </c>
      <c r="F48" s="187">
        <v>115.768</v>
      </c>
      <c r="G48" s="187">
        <v>119.355</v>
      </c>
      <c r="H48" s="186">
        <v>122.208</v>
      </c>
      <c r="I48" s="123"/>
      <c r="J48"/>
      <c r="N48"/>
      <c r="O48"/>
      <c r="P48"/>
      <c r="Q48" s="67"/>
    </row>
    <row r="49" spans="1:17" s="13" customFormat="1">
      <c r="A49" s="72"/>
      <c r="C49" s="170"/>
      <c r="D49" s="170"/>
      <c r="E49" s="170"/>
      <c r="F49" s="170"/>
      <c r="G49" s="170"/>
      <c r="H49" s="170"/>
      <c r="I49" s="170"/>
      <c r="J49"/>
      <c r="N49"/>
      <c r="O49"/>
      <c r="P49"/>
      <c r="Q49" s="67"/>
    </row>
    <row r="50" spans="1:17">
      <c r="A50" s="68"/>
      <c r="B50" s="270"/>
      <c r="C50" s="270"/>
      <c r="D50" s="270"/>
      <c r="Q50" s="67"/>
    </row>
    <row r="51" spans="1:17">
      <c r="A51" s="68"/>
      <c r="B51" s="113" t="s">
        <v>130</v>
      </c>
      <c r="E51" s="270"/>
      <c r="Q51" s="67"/>
    </row>
    <row r="52" spans="1:17">
      <c r="A52" s="68"/>
      <c r="B52" s="183" t="s">
        <v>102</v>
      </c>
      <c r="C52" s="183"/>
      <c r="D52" s="183">
        <v>2021</v>
      </c>
      <c r="E52" s="183" t="s">
        <v>92</v>
      </c>
      <c r="Q52" s="67"/>
    </row>
    <row r="53" spans="1:17">
      <c r="A53" s="68"/>
      <c r="B53" s="259" t="s">
        <v>131</v>
      </c>
      <c r="C53" s="259" t="s">
        <v>132</v>
      </c>
      <c r="D53" s="271">
        <v>1.9400000000000001E-2</v>
      </c>
      <c r="E53" s="201" t="s">
        <v>133</v>
      </c>
      <c r="F53" s="270"/>
      <c r="G53" s="270"/>
      <c r="J53" s="270"/>
      <c r="K53" s="270"/>
      <c r="L53" s="270"/>
      <c r="Q53" s="67"/>
    </row>
    <row r="54" spans="1:17">
      <c r="A54" s="68"/>
      <c r="B54" s="202" t="s">
        <v>134</v>
      </c>
      <c r="E54" s="270"/>
      <c r="F54" s="270"/>
      <c r="G54" s="270"/>
      <c r="J54" s="270"/>
      <c r="K54" s="270"/>
      <c r="L54" s="270"/>
      <c r="Q54" s="67"/>
    </row>
    <row r="55" spans="1:17">
      <c r="A55" s="68"/>
      <c r="B55" s="114"/>
      <c r="E55" s="270"/>
      <c r="F55" s="270"/>
      <c r="G55" s="270"/>
      <c r="J55" s="270"/>
      <c r="K55" s="270"/>
      <c r="L55" s="270"/>
      <c r="Q55" s="67"/>
    </row>
    <row r="56" spans="1:17">
      <c r="A56" s="73"/>
      <c r="B56" s="239"/>
      <c r="C56" s="74"/>
      <c r="D56" s="74"/>
      <c r="E56" s="272"/>
      <c r="F56" s="272"/>
      <c r="G56" s="272"/>
      <c r="H56" s="74"/>
      <c r="I56" s="74"/>
      <c r="J56" s="272"/>
      <c r="K56" s="272"/>
      <c r="L56" s="272"/>
      <c r="M56" s="74"/>
      <c r="N56" s="74"/>
      <c r="O56" s="74"/>
      <c r="P56" s="74"/>
      <c r="Q56" s="75"/>
    </row>
  </sheetData>
  <mergeCells count="5">
    <mergeCell ref="E3:J3"/>
    <mergeCell ref="E4:J4"/>
    <mergeCell ref="E5:J5"/>
    <mergeCell ref="D20:D22"/>
    <mergeCell ref="L31:L34"/>
  </mergeCells>
  <conditionalFormatting sqref="B11:C11">
    <cfRule type="cellIs" dxfId="13" priority="3" operator="lessThan">
      <formula>0</formula>
    </cfRule>
  </conditionalFormatting>
  <conditionalFormatting sqref="B14:D14">
    <cfRule type="cellIs" dxfId="12" priority="4" operator="lessThan">
      <formula>0</formula>
    </cfRule>
  </conditionalFormatting>
  <conditionalFormatting sqref="B19:D19">
    <cfRule type="cellIs" dxfId="11" priority="1" operator="lessThan">
      <formula>0</formula>
    </cfRule>
  </conditionalFormatting>
  <hyperlinks>
    <hyperlink ref="E53" r:id="rId1" xr:uid="{D9E63CC1-B2AA-4399-AD1D-C04066017041}"/>
    <hyperlink ref="I47" r:id="rId2" xr:uid="{A1E58249-D84E-4B21-AF27-6ED4ECAFEC07}"/>
    <hyperlink ref="D15" r:id="rId3" xr:uid="{0C0A5420-633F-4B43-B863-A0B9821E0B80}"/>
  </hyperlinks>
  <pageMargins left="0.7" right="0.7" top="0.75" bottom="0.75" header="0.3" footer="0.3"/>
  <pageSetup paperSize="9" scale="39" orientation="portrait" horizontalDpi="1200" verticalDpi="1200"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2AE64-E7BA-4BC7-8063-056CA3FE865E}">
  <dimension ref="A1:Y211"/>
  <sheetViews>
    <sheetView showGridLines="0" topLeftCell="A116" zoomScaleNormal="100" zoomScaleSheetLayoutView="55" workbookViewId="0">
      <selection activeCell="B143" sqref="B143"/>
    </sheetView>
  </sheetViews>
  <sheetFormatPr defaultColWidth="11.42578125" defaultRowHeight="14.45"/>
  <cols>
    <col min="1" max="1" width="4.85546875" customWidth="1"/>
    <col min="2" max="2" width="57.5703125" customWidth="1"/>
    <col min="3" max="3" width="43" style="14" customWidth="1"/>
    <col min="4" max="4" width="13.5703125" customWidth="1"/>
    <col min="5" max="5" width="11.42578125" customWidth="1"/>
    <col min="6" max="6" width="12.5703125" customWidth="1"/>
    <col min="7" max="7" width="13.5703125" customWidth="1"/>
    <col min="8" max="8" width="12.5703125" customWidth="1"/>
    <col min="9" max="9" width="13.42578125" customWidth="1"/>
    <col min="10" max="10" width="12.42578125" customWidth="1"/>
    <col min="11" max="13" width="11.42578125" customWidth="1"/>
    <col min="14" max="14" width="14.140625" customWidth="1"/>
    <col min="15" max="25" width="11.42578125" customWidth="1"/>
  </cols>
  <sheetData>
    <row r="1" spans="1:25" ht="18">
      <c r="A1" s="62"/>
      <c r="B1" s="169" t="s">
        <v>135</v>
      </c>
      <c r="C1" s="91"/>
      <c r="D1" s="64"/>
      <c r="E1" s="63"/>
      <c r="F1" s="65"/>
      <c r="G1" s="65"/>
      <c r="H1" s="65"/>
      <c r="I1" s="65"/>
      <c r="J1" s="65"/>
      <c r="K1" s="65"/>
      <c r="L1" s="65"/>
      <c r="M1" s="65"/>
      <c r="N1" s="65"/>
      <c r="O1" s="65"/>
      <c r="P1" s="65"/>
      <c r="Q1" s="65"/>
      <c r="R1" s="65"/>
      <c r="S1" s="65"/>
      <c r="T1" s="65"/>
      <c r="U1" s="65"/>
      <c r="V1" s="65"/>
      <c r="W1" s="65"/>
      <c r="X1" s="65"/>
      <c r="Y1" s="66"/>
    </row>
    <row r="2" spans="1:25" ht="15" thickBot="1">
      <c r="A2" s="68"/>
      <c r="C2"/>
      <c r="H2" s="273"/>
      <c r="I2" s="273"/>
      <c r="J2" s="273"/>
      <c r="K2" s="273"/>
      <c r="L2" s="273"/>
      <c r="M2" s="273"/>
      <c r="O2" s="273"/>
      <c r="Y2" s="67"/>
    </row>
    <row r="3" spans="1:25" ht="18.600000000000001" thickBot="1">
      <c r="A3" s="68"/>
      <c r="B3" s="60" t="s">
        <v>91</v>
      </c>
      <c r="C3" s="274">
        <v>0.1</v>
      </c>
      <c r="D3" s="115"/>
      <c r="E3" s="116" t="s">
        <v>99</v>
      </c>
      <c r="F3" s="105"/>
      <c r="G3" s="105"/>
      <c r="H3" s="105"/>
      <c r="I3" s="105"/>
      <c r="J3" s="105"/>
      <c r="K3" s="105"/>
      <c r="L3" s="105"/>
      <c r="M3" s="105"/>
      <c r="N3" s="105"/>
      <c r="O3" s="105"/>
      <c r="P3" s="105"/>
      <c r="Y3" s="67"/>
    </row>
    <row r="4" spans="1:25" ht="18.600000000000001" thickBot="1">
      <c r="A4" s="68"/>
      <c r="B4" s="103"/>
      <c r="C4" s="275"/>
      <c r="D4" s="115"/>
      <c r="E4" s="116"/>
      <c r="F4" s="105"/>
      <c r="G4" s="105"/>
      <c r="H4" s="105"/>
      <c r="I4" s="105"/>
      <c r="J4" s="105"/>
      <c r="K4" s="105"/>
      <c r="L4" s="105"/>
      <c r="M4" s="105"/>
      <c r="N4" s="105"/>
      <c r="O4" s="105"/>
      <c r="P4" s="105"/>
      <c r="Y4" s="67"/>
    </row>
    <row r="5" spans="1:25" ht="18.600000000000001" thickBot="1">
      <c r="A5" s="68"/>
      <c r="B5" s="60" t="s">
        <v>136</v>
      </c>
      <c r="C5" s="276">
        <v>0.15</v>
      </c>
      <c r="D5" s="134">
        <f>1+C5</f>
        <v>1.1499999999999999</v>
      </c>
      <c r="E5" s="116"/>
      <c r="F5" s="105"/>
      <c r="G5" s="105"/>
      <c r="H5" s="105"/>
      <c r="I5" s="105"/>
      <c r="J5" s="105"/>
      <c r="K5" s="105"/>
      <c r="L5" s="105"/>
      <c r="M5" s="105"/>
      <c r="N5" s="105"/>
      <c r="O5" s="105"/>
      <c r="P5" s="105"/>
      <c r="Y5" s="67"/>
    </row>
    <row r="6" spans="1:25" ht="15" thickBot="1">
      <c r="A6" s="68"/>
      <c r="C6" s="171"/>
      <c r="H6" s="273"/>
      <c r="I6" s="273"/>
      <c r="J6" s="273"/>
      <c r="K6" s="273"/>
      <c r="L6" s="273"/>
      <c r="M6" s="273"/>
      <c r="O6" s="273"/>
      <c r="Y6" s="67"/>
    </row>
    <row r="7" spans="1:25" ht="17.45" customHeight="1" thickBot="1">
      <c r="A7" s="68"/>
      <c r="B7" s="60" t="s">
        <v>137</v>
      </c>
      <c r="C7" s="277">
        <v>0</v>
      </c>
      <c r="H7" s="273"/>
      <c r="I7" s="273"/>
      <c r="J7" s="273"/>
      <c r="K7" s="273"/>
      <c r="L7" s="273"/>
      <c r="M7" s="273"/>
      <c r="O7" s="273"/>
      <c r="Y7" s="67"/>
    </row>
    <row r="8" spans="1:25" ht="15" thickBot="1">
      <c r="A8" s="68"/>
      <c r="C8" s="171"/>
      <c r="H8" s="273"/>
      <c r="I8" s="273"/>
      <c r="J8" s="273"/>
      <c r="K8" s="273"/>
      <c r="L8" s="273"/>
      <c r="M8" s="273"/>
      <c r="O8" s="273"/>
      <c r="Y8" s="67"/>
    </row>
    <row r="9" spans="1:25" ht="17.25" customHeight="1" thickBot="1">
      <c r="A9" s="68"/>
      <c r="B9" s="172" t="s">
        <v>138</v>
      </c>
      <c r="C9" s="277">
        <v>0.1</v>
      </c>
      <c r="F9" s="243"/>
      <c r="G9" s="243"/>
      <c r="H9" s="243"/>
      <c r="I9" s="243"/>
      <c r="J9" s="243"/>
      <c r="K9" s="243"/>
      <c r="L9" s="243"/>
      <c r="M9" s="243"/>
      <c r="N9" s="243"/>
      <c r="Y9" s="67"/>
    </row>
    <row r="10" spans="1:25" ht="20.100000000000001" customHeight="1" thickBot="1">
      <c r="A10" s="68"/>
      <c r="B10" s="103"/>
      <c r="C10" s="171"/>
      <c r="F10" s="243"/>
      <c r="G10" s="243"/>
      <c r="H10" s="243"/>
      <c r="I10" s="243"/>
      <c r="J10" s="243"/>
      <c r="K10" s="243"/>
      <c r="L10" s="243"/>
      <c r="M10" s="243"/>
      <c r="N10" s="243"/>
      <c r="Y10" s="67"/>
    </row>
    <row r="11" spans="1:25" ht="20.100000000000001" customHeight="1" thickBot="1">
      <c r="A11" s="68"/>
      <c r="B11" s="172" t="s">
        <v>139</v>
      </c>
      <c r="C11" s="277">
        <v>1</v>
      </c>
      <c r="D11" s="135"/>
      <c r="F11" s="243"/>
      <c r="G11" s="243"/>
      <c r="H11" s="243"/>
      <c r="I11" s="243"/>
      <c r="J11" s="243"/>
      <c r="K11" s="243"/>
      <c r="L11" s="243"/>
      <c r="M11" s="243"/>
      <c r="N11" s="243"/>
      <c r="Y11" s="67"/>
    </row>
    <row r="12" spans="1:25" ht="15.6" customHeight="1" thickBot="1">
      <c r="A12" s="68"/>
      <c r="C12" s="171"/>
      <c r="F12" s="243"/>
      <c r="G12" s="243"/>
      <c r="H12" s="243"/>
      <c r="I12" s="243"/>
      <c r="J12" s="243"/>
      <c r="K12" s="243"/>
      <c r="L12" s="243"/>
      <c r="M12" s="243"/>
      <c r="N12" s="243"/>
      <c r="Y12" s="67"/>
    </row>
    <row r="13" spans="1:25" ht="21.95" customHeight="1" thickBot="1">
      <c r="A13" s="68"/>
      <c r="B13" s="172" t="s">
        <v>140</v>
      </c>
      <c r="C13" s="277">
        <v>1</v>
      </c>
      <c r="H13" s="273"/>
      <c r="I13" s="273"/>
      <c r="J13" s="273"/>
      <c r="K13" s="273"/>
      <c r="L13" s="273"/>
      <c r="M13" s="273"/>
      <c r="O13" s="273"/>
      <c r="Y13" s="67"/>
    </row>
    <row r="14" spans="1:25">
      <c r="A14" s="68"/>
      <c r="H14" s="273"/>
      <c r="I14" s="273"/>
      <c r="J14" s="273"/>
      <c r="K14" s="273"/>
      <c r="L14" s="273"/>
      <c r="N14" s="273"/>
      <c r="Y14" s="67"/>
    </row>
    <row r="15" spans="1:25" ht="21">
      <c r="A15" s="68"/>
      <c r="B15" s="212" t="s">
        <v>141</v>
      </c>
      <c r="C15" s="212"/>
      <c r="D15" s="212"/>
      <c r="E15" s="212"/>
      <c r="Y15" s="67"/>
    </row>
    <row r="16" spans="1:25" ht="15.6">
      <c r="A16" s="68"/>
      <c r="B16" s="104" t="s">
        <v>89</v>
      </c>
      <c r="C16" s="127" t="s">
        <v>90</v>
      </c>
      <c r="D16" s="104" t="s">
        <v>92</v>
      </c>
      <c r="E16" s="104" t="s">
        <v>142</v>
      </c>
      <c r="F16" s="136"/>
      <c r="S16" s="137"/>
      <c r="T16" s="138"/>
      <c r="U16" s="138"/>
      <c r="V16" s="138"/>
      <c r="W16" s="24"/>
      <c r="X16" s="278"/>
      <c r="Y16" s="279"/>
    </row>
    <row r="17" spans="1:25" ht="21" customHeight="1">
      <c r="A17" s="68"/>
      <c r="B17" s="280" t="s">
        <v>143</v>
      </c>
      <c r="C17" s="281">
        <v>0.6</v>
      </c>
      <c r="D17" s="282" t="s">
        <v>144</v>
      </c>
      <c r="E17" s="122" t="s">
        <v>145</v>
      </c>
      <c r="F17" s="136" t="s">
        <v>99</v>
      </c>
      <c r="S17" s="283"/>
      <c r="T17" s="232"/>
      <c r="U17" s="232"/>
      <c r="V17" s="232"/>
      <c r="W17" s="24"/>
      <c r="X17" s="278"/>
      <c r="Y17" s="279"/>
    </row>
    <row r="18" spans="1:25" ht="20.25" customHeight="1">
      <c r="A18" s="68"/>
      <c r="B18" s="280" t="s">
        <v>146</v>
      </c>
      <c r="C18" s="284">
        <f>150*5</f>
        <v>750</v>
      </c>
      <c r="D18" s="101" t="s">
        <v>147</v>
      </c>
      <c r="E18" s="122" t="s">
        <v>148</v>
      </c>
      <c r="F18" s="136" t="s">
        <v>149</v>
      </c>
      <c r="L18" t="s">
        <v>99</v>
      </c>
      <c r="S18" s="283"/>
      <c r="T18" s="232"/>
      <c r="U18" s="232"/>
      <c r="V18" s="232"/>
      <c r="W18" s="24"/>
      <c r="X18" s="278"/>
      <c r="Y18" s="279"/>
    </row>
    <row r="19" spans="1:25" ht="20.25" customHeight="1">
      <c r="A19" s="68"/>
      <c r="B19" s="261" t="s">
        <v>150</v>
      </c>
      <c r="C19" s="284">
        <v>2133</v>
      </c>
      <c r="D19" s="259" t="s">
        <v>151</v>
      </c>
      <c r="E19" s="123"/>
      <c r="F19" s="136"/>
      <c r="S19" s="232"/>
      <c r="T19" s="232"/>
      <c r="U19" s="232"/>
      <c r="V19" s="232"/>
      <c r="W19" s="24"/>
      <c r="X19" s="278"/>
      <c r="Y19" s="279"/>
    </row>
    <row r="20" spans="1:25">
      <c r="A20" s="68"/>
      <c r="C20"/>
      <c r="F20" s="273"/>
      <c r="Y20" s="67"/>
    </row>
    <row r="21" spans="1:25" ht="21">
      <c r="A21" s="68"/>
      <c r="B21" s="212" t="s">
        <v>152</v>
      </c>
      <c r="C21" s="212"/>
      <c r="D21" s="212"/>
      <c r="E21" s="212"/>
      <c r="F21" s="273"/>
      <c r="Y21" s="67"/>
    </row>
    <row r="22" spans="1:25" ht="15.6">
      <c r="A22" s="68"/>
      <c r="B22" s="104" t="s">
        <v>153</v>
      </c>
      <c r="C22" s="104" t="s">
        <v>154</v>
      </c>
      <c r="D22" s="104" t="s">
        <v>155</v>
      </c>
      <c r="E22" s="104" t="s">
        <v>92</v>
      </c>
      <c r="F22" s="104" t="s">
        <v>142</v>
      </c>
      <c r="Y22" s="67"/>
    </row>
    <row r="23" spans="1:25" ht="22.5" customHeight="1">
      <c r="A23" s="68"/>
      <c r="B23" s="280" t="s">
        <v>143</v>
      </c>
      <c r="C23" s="285">
        <v>0.7</v>
      </c>
      <c r="D23" s="285">
        <v>1.5</v>
      </c>
      <c r="E23" s="286" t="s">
        <v>156</v>
      </c>
      <c r="F23" s="122" t="s">
        <v>157</v>
      </c>
      <c r="G23" t="s">
        <v>99</v>
      </c>
      <c r="Y23" s="67"/>
    </row>
    <row r="24" spans="1:25" ht="20.25" customHeight="1">
      <c r="A24" s="68"/>
      <c r="B24" s="280" t="s">
        <v>146</v>
      </c>
      <c r="C24" s="287">
        <v>974.3</v>
      </c>
      <c r="D24" s="287">
        <v>804.7</v>
      </c>
      <c r="E24" s="102" t="s">
        <v>158</v>
      </c>
      <c r="F24" s="122" t="s">
        <v>157</v>
      </c>
      <c r="G24" t="s">
        <v>99</v>
      </c>
      <c r="Y24" s="67"/>
    </row>
    <row r="25" spans="1:25" ht="20.25" customHeight="1">
      <c r="A25" s="68"/>
      <c r="B25" s="261" t="s">
        <v>150</v>
      </c>
      <c r="C25" s="287">
        <v>2480</v>
      </c>
      <c r="D25" s="287">
        <v>1800</v>
      </c>
      <c r="E25" s="259" t="s">
        <v>159</v>
      </c>
      <c r="F25" s="123"/>
      <c r="S25" s="232"/>
      <c r="T25" s="232"/>
      <c r="U25" s="232"/>
      <c r="V25" s="232"/>
      <c r="W25" s="24"/>
      <c r="X25" s="278"/>
      <c r="Y25" s="279"/>
    </row>
    <row r="26" spans="1:25" ht="20.25" customHeight="1">
      <c r="A26" s="68"/>
      <c r="B26" s="243"/>
      <c r="C26"/>
      <c r="D26" s="288"/>
      <c r="E26" s="273"/>
      <c r="F26" s="136"/>
      <c r="S26" s="289"/>
      <c r="T26" s="289"/>
      <c r="U26" s="289"/>
      <c r="V26" s="289"/>
      <c r="X26" s="254"/>
      <c r="Y26" s="290"/>
    </row>
    <row r="27" spans="1:25" ht="21">
      <c r="A27" s="68"/>
      <c r="B27" s="118" t="s">
        <v>160</v>
      </c>
      <c r="C27" s="118"/>
      <c r="D27" s="118"/>
      <c r="E27" s="118"/>
      <c r="Y27" s="67"/>
    </row>
    <row r="28" spans="1:25" ht="15.6">
      <c r="A28" s="68"/>
      <c r="B28" s="104" t="s">
        <v>89</v>
      </c>
      <c r="C28" s="104" t="s">
        <v>90</v>
      </c>
      <c r="D28" s="104" t="s">
        <v>92</v>
      </c>
      <c r="E28" s="104" t="s">
        <v>142</v>
      </c>
      <c r="F28" s="104" t="s">
        <v>161</v>
      </c>
      <c r="Y28" s="67"/>
    </row>
    <row r="29" spans="1:25" ht="18" customHeight="1">
      <c r="A29" s="68"/>
      <c r="B29" s="247" t="s">
        <v>162</v>
      </c>
      <c r="C29" s="287">
        <v>135524.5</v>
      </c>
      <c r="D29" s="291" t="s">
        <v>163</v>
      </c>
      <c r="E29" s="95" t="s">
        <v>164</v>
      </c>
      <c r="F29" s="124" t="s">
        <v>165</v>
      </c>
      <c r="G29" t="s">
        <v>99</v>
      </c>
      <c r="Y29" s="67"/>
    </row>
    <row r="30" spans="1:25" ht="21.95" customHeight="1">
      <c r="A30" s="68"/>
      <c r="B30" s="247" t="s">
        <v>166</v>
      </c>
      <c r="C30" s="287">
        <f>C29/('Model input'!$E$47/'Model input'!$D$47)</f>
        <v>101631.00095504879</v>
      </c>
      <c r="D30" s="125"/>
      <c r="E30" s="123"/>
      <c r="F30" s="123"/>
      <c r="Y30" s="67"/>
    </row>
    <row r="31" spans="1:25" ht="15" customHeight="1">
      <c r="A31" s="68"/>
      <c r="C31"/>
      <c r="Y31" s="67"/>
    </row>
    <row r="32" spans="1:25" ht="18">
      <c r="A32" s="69"/>
      <c r="B32" s="168" t="s">
        <v>167</v>
      </c>
      <c r="C32" s="139"/>
      <c r="D32" s="106"/>
      <c r="E32" s="117"/>
      <c r="F32" s="12"/>
      <c r="G32" s="12"/>
      <c r="H32" s="12"/>
      <c r="I32" s="12"/>
      <c r="J32" s="12"/>
      <c r="K32" s="12"/>
      <c r="L32" s="12"/>
      <c r="M32" s="12"/>
      <c r="N32" s="12"/>
      <c r="O32" s="12"/>
      <c r="P32" s="12"/>
      <c r="Q32" s="12"/>
      <c r="R32" s="12"/>
      <c r="S32" s="12"/>
      <c r="T32" s="12"/>
      <c r="U32" s="12"/>
      <c r="V32" s="12"/>
      <c r="W32" s="12"/>
      <c r="X32" s="12"/>
      <c r="Y32" s="71"/>
    </row>
    <row r="33" spans="1:25" ht="18">
      <c r="A33" s="68"/>
      <c r="B33" s="105"/>
      <c r="C33"/>
      <c r="F33" s="81"/>
      <c r="Y33" s="67"/>
    </row>
    <row r="34" spans="1:25" ht="15.6">
      <c r="A34" s="68"/>
      <c r="B34" s="104"/>
      <c r="C34" s="104" t="s">
        <v>68</v>
      </c>
      <c r="D34" s="104" t="s">
        <v>70</v>
      </c>
      <c r="E34" s="104" t="s">
        <v>168</v>
      </c>
      <c r="F34" s="81"/>
      <c r="Y34" s="67"/>
    </row>
    <row r="35" spans="1:25" ht="15" thickBot="1">
      <c r="A35" s="68"/>
      <c r="B35" s="282" t="s">
        <v>169</v>
      </c>
      <c r="C35" s="292">
        <v>6000</v>
      </c>
      <c r="D35" s="293">
        <v>9760</v>
      </c>
      <c r="E35" s="292">
        <f>SUM(C35:D35)</f>
        <v>15760</v>
      </c>
      <c r="F35" s="81"/>
      <c r="Y35" s="67"/>
    </row>
    <row r="36" spans="1:25" ht="15" thickBot="1">
      <c r="A36" s="68"/>
      <c r="B36" s="282" t="s">
        <v>170</v>
      </c>
      <c r="C36" s="294">
        <v>8336</v>
      </c>
      <c r="D36" s="295">
        <v>16467</v>
      </c>
      <c r="E36" s="296">
        <f>SUM(C36:D36)</f>
        <v>24803</v>
      </c>
      <c r="F36" s="81"/>
      <c r="Y36" s="67"/>
    </row>
    <row r="37" spans="1:25">
      <c r="A37" s="68"/>
      <c r="B37" s="297" t="s">
        <v>171</v>
      </c>
      <c r="C37" s="298">
        <v>4916</v>
      </c>
      <c r="D37" s="299">
        <v>10573</v>
      </c>
      <c r="E37" s="298">
        <f>SUM(C37:D37)</f>
        <v>15489</v>
      </c>
      <c r="F37" s="81"/>
      <c r="Y37" s="67"/>
    </row>
    <row r="38" spans="1:25" ht="13.5" customHeight="1">
      <c r="A38" s="68"/>
      <c r="B38" s="300" t="s">
        <v>172</v>
      </c>
      <c r="C38" s="300"/>
      <c r="D38" s="300"/>
      <c r="E38" s="300"/>
      <c r="J38" s="10"/>
      <c r="Y38" s="67"/>
    </row>
    <row r="39" spans="1:25" ht="13.5" customHeight="1">
      <c r="A39" s="68"/>
      <c r="B39" s="254"/>
      <c r="C39" s="254"/>
      <c r="D39" s="254"/>
      <c r="E39" s="254"/>
      <c r="J39" s="10"/>
      <c r="Y39" s="67"/>
    </row>
    <row r="40" spans="1:25" ht="18">
      <c r="A40" s="69"/>
      <c r="B40" s="168" t="s">
        <v>173</v>
      </c>
      <c r="C40" s="139"/>
      <c r="D40" s="106"/>
      <c r="E40" s="117"/>
      <c r="F40" s="12"/>
      <c r="G40" s="12"/>
      <c r="H40" s="12"/>
      <c r="I40" s="12"/>
      <c r="J40" s="12"/>
      <c r="K40" s="12"/>
      <c r="L40" s="12"/>
      <c r="M40" s="12"/>
      <c r="N40" s="12"/>
      <c r="O40" s="12"/>
      <c r="P40" s="12"/>
      <c r="Q40" s="12"/>
      <c r="R40" s="12"/>
      <c r="S40" s="12"/>
      <c r="T40" s="12"/>
      <c r="U40" s="12"/>
      <c r="V40" s="12"/>
      <c r="W40" s="12"/>
      <c r="X40" s="12"/>
      <c r="Y40" s="71"/>
    </row>
    <row r="41" spans="1:25" ht="12.95" customHeight="1">
      <c r="A41" s="68"/>
      <c r="B41" s="119"/>
      <c r="Y41" s="67"/>
    </row>
    <row r="42" spans="1:25" ht="21">
      <c r="A42" s="68"/>
      <c r="B42" s="120" t="s">
        <v>174</v>
      </c>
      <c r="O42" s="9" t="s">
        <v>175</v>
      </c>
      <c r="P42" s="9"/>
      <c r="Q42" s="9"/>
      <c r="R42" s="9"/>
      <c r="S42" s="9"/>
      <c r="T42" s="9"/>
      <c r="U42" s="9"/>
      <c r="V42" s="9"/>
      <c r="W42" s="9"/>
      <c r="X42" s="9"/>
      <c r="Y42" s="92"/>
    </row>
    <row r="43" spans="1:25" s="1" customFormat="1" ht="15.6">
      <c r="A43" s="301"/>
      <c r="B43" s="104" t="s">
        <v>102</v>
      </c>
      <c r="C43" s="205"/>
      <c r="D43" s="204">
        <v>2022</v>
      </c>
      <c r="E43" s="204">
        <v>2023</v>
      </c>
      <c r="F43" s="204">
        <v>2024</v>
      </c>
      <c r="G43" s="204">
        <v>2025</v>
      </c>
      <c r="H43" s="204">
        <v>2026</v>
      </c>
      <c r="I43" s="204">
        <v>2027</v>
      </c>
      <c r="J43" s="204">
        <v>2028</v>
      </c>
      <c r="K43" s="204">
        <v>2029</v>
      </c>
      <c r="L43" s="204">
        <v>2030</v>
      </c>
      <c r="M43" s="204">
        <v>2031</v>
      </c>
      <c r="N43" s="273"/>
      <c r="O43" s="8"/>
      <c r="P43" s="4">
        <v>2022</v>
      </c>
      <c r="Q43" s="4">
        <v>2023</v>
      </c>
      <c r="R43" s="4">
        <v>2024</v>
      </c>
      <c r="S43" s="4">
        <v>2025</v>
      </c>
      <c r="T43" s="4">
        <v>2026</v>
      </c>
      <c r="U43" s="4">
        <v>2027</v>
      </c>
      <c r="V43" s="4">
        <v>2028</v>
      </c>
      <c r="W43" s="4">
        <v>2029</v>
      </c>
      <c r="X43" s="4">
        <v>2030</v>
      </c>
      <c r="Y43" s="4">
        <v>2031</v>
      </c>
    </row>
    <row r="44" spans="1:25" s="2" customFormat="1">
      <c r="A44" s="140"/>
      <c r="B44" s="215" t="s">
        <v>176</v>
      </c>
      <c r="C44" s="241" t="s">
        <v>177</v>
      </c>
      <c r="D44" s="302">
        <v>0.34</v>
      </c>
      <c r="E44" s="302">
        <v>0.34</v>
      </c>
      <c r="F44" s="302">
        <v>0.34</v>
      </c>
      <c r="G44" s="303">
        <f>F44-F44*'Model input'!C15</f>
        <v>0.31518000000000002</v>
      </c>
      <c r="H44" s="303">
        <f>G44-G44*0.073*'Model input'!C15</f>
        <v>0.31350040577999999</v>
      </c>
      <c r="I44" s="303">
        <f>H44-H44*0.073*'Model input'!C15</f>
        <v>0.31182976211759839</v>
      </c>
      <c r="J44" s="303">
        <f>I44-I44*'Model input'!C15</f>
        <v>0.28906618948301371</v>
      </c>
      <c r="K44" s="303">
        <f>J44-J44*'Model input'!C15</f>
        <v>0.26796435765075372</v>
      </c>
      <c r="L44" s="303">
        <f>K44-K44*'Model input'!C15</f>
        <v>0.2484029595422487</v>
      </c>
      <c r="M44" s="303">
        <f>L44-L44*'Model input'!C15</f>
        <v>0.23026954349566453</v>
      </c>
      <c r="O44" s="3" t="s">
        <v>178</v>
      </c>
      <c r="P44" s="5">
        <f t="shared" ref="P44:Y44" si="0">D54</f>
        <v>43.068799999999996</v>
      </c>
      <c r="Q44" s="5">
        <f t="shared" si="0"/>
        <v>53.392000000000003</v>
      </c>
      <c r="R44" s="5">
        <f t="shared" si="0"/>
        <v>54.092999999999996</v>
      </c>
      <c r="S44" s="5">
        <f t="shared" si="0"/>
        <v>12.857489999999999</v>
      </c>
      <c r="T44" s="5">
        <f t="shared" si="0"/>
        <v>11.048814024209999</v>
      </c>
      <c r="U44" s="5">
        <f t="shared" si="0"/>
        <v>9.4945663066103556</v>
      </c>
      <c r="V44" s="5">
        <f t="shared" si="0"/>
        <v>8.1589561696931696</v>
      </c>
      <c r="W44" s="5">
        <f t="shared" si="0"/>
        <v>7.0112276463462626</v>
      </c>
      <c r="X44" s="5">
        <f t="shared" si="0"/>
        <v>6.024951242107087</v>
      </c>
      <c r="Y44" s="5">
        <f t="shared" si="0"/>
        <v>5.1774153259286422</v>
      </c>
    </row>
    <row r="45" spans="1:25" s="2" customFormat="1">
      <c r="A45" s="140"/>
      <c r="B45" s="215"/>
      <c r="C45" s="241" t="s">
        <v>179</v>
      </c>
      <c r="D45" s="304">
        <f>D44*$C$18*$C$17*$C$9</f>
        <v>15.3</v>
      </c>
      <c r="E45" s="304">
        <f t="shared" ref="E45:M45" si="1">E44*$C$18*$C$17*$C$9</f>
        <v>15.3</v>
      </c>
      <c r="F45" s="304">
        <f t="shared" si="1"/>
        <v>15.3</v>
      </c>
      <c r="G45" s="305">
        <f t="shared" si="1"/>
        <v>14.183100000000003</v>
      </c>
      <c r="H45" s="305">
        <f t="shared" si="1"/>
        <v>14.107518260100001</v>
      </c>
      <c r="I45" s="305">
        <f t="shared" si="1"/>
        <v>14.032339295291928</v>
      </c>
      <c r="J45" s="305">
        <f t="shared" si="1"/>
        <v>13.007978526735616</v>
      </c>
      <c r="K45" s="305">
        <f t="shared" si="1"/>
        <v>12.058396094283918</v>
      </c>
      <c r="L45" s="305">
        <f>L44*$C$18*$C$17*$C$9</f>
        <v>11.178133179401193</v>
      </c>
      <c r="M45" s="305">
        <f t="shared" si="1"/>
        <v>10.362129457304905</v>
      </c>
      <c r="O45" s="3" t="s">
        <v>180</v>
      </c>
      <c r="P45" s="5">
        <v>0</v>
      </c>
      <c r="Q45" s="5">
        <f t="shared" ref="Q45:Y52" si="2">P44</f>
        <v>43.068799999999996</v>
      </c>
      <c r="R45" s="5">
        <f t="shared" si="2"/>
        <v>53.392000000000003</v>
      </c>
      <c r="S45" s="5">
        <f t="shared" si="2"/>
        <v>54.092999999999996</v>
      </c>
      <c r="T45" s="5">
        <f t="shared" si="2"/>
        <v>12.857489999999999</v>
      </c>
      <c r="U45" s="5">
        <f t="shared" si="2"/>
        <v>11.048814024209999</v>
      </c>
      <c r="V45" s="5">
        <f t="shared" si="2"/>
        <v>9.4945663066103556</v>
      </c>
      <c r="W45" s="5">
        <f t="shared" si="2"/>
        <v>8.1589561696931696</v>
      </c>
      <c r="X45" s="5">
        <f t="shared" si="2"/>
        <v>7.0112276463462626</v>
      </c>
      <c r="Y45" s="5">
        <f t="shared" si="2"/>
        <v>6.024951242107087</v>
      </c>
    </row>
    <row r="46" spans="1:25" s="2" customFormat="1">
      <c r="A46" s="140"/>
      <c r="B46" s="215"/>
      <c r="C46" s="241" t="s">
        <v>181</v>
      </c>
      <c r="D46" s="306">
        <f>D45/'Model input'!$C$20</f>
        <v>0.30599999999999999</v>
      </c>
      <c r="E46" s="306">
        <f>E45/'Model input'!$C$20</f>
        <v>0.30599999999999999</v>
      </c>
      <c r="F46" s="306">
        <f>F45/'Model input'!$C$20</f>
        <v>0.30599999999999999</v>
      </c>
      <c r="G46" s="306">
        <f>G45/'Model input'!$C$20</f>
        <v>0.28366200000000008</v>
      </c>
      <c r="H46" s="306">
        <f>H45/'Model input'!$C$20</f>
        <v>0.28215036520200004</v>
      </c>
      <c r="I46" s="306">
        <f>I45/'Model input'!$C$20</f>
        <v>0.28064678590583858</v>
      </c>
      <c r="J46" s="306">
        <f>J45/'Model input'!$C$20</f>
        <v>0.26015957053471234</v>
      </c>
      <c r="K46" s="306">
        <f>K45/'Model input'!$C$20</f>
        <v>0.24116792188567834</v>
      </c>
      <c r="L46" s="306">
        <f>L45/'Model input'!$C$20</f>
        <v>0.22356266358802387</v>
      </c>
      <c r="M46" s="306">
        <f>M45/'Model input'!$C$20</f>
        <v>0.20724258914609808</v>
      </c>
      <c r="O46" s="3" t="s">
        <v>108</v>
      </c>
      <c r="P46" s="5">
        <v>0</v>
      </c>
      <c r="Q46" s="5">
        <f t="shared" si="2"/>
        <v>0</v>
      </c>
      <c r="R46" s="5">
        <f t="shared" si="2"/>
        <v>43.068799999999996</v>
      </c>
      <c r="S46" s="5">
        <f t="shared" si="2"/>
        <v>53.392000000000003</v>
      </c>
      <c r="T46" s="5">
        <f t="shared" si="2"/>
        <v>54.092999999999996</v>
      </c>
      <c r="U46" s="5">
        <f t="shared" si="2"/>
        <v>12.857489999999999</v>
      </c>
      <c r="V46" s="5">
        <f t="shared" si="2"/>
        <v>11.048814024209999</v>
      </c>
      <c r="W46" s="5">
        <f t="shared" si="2"/>
        <v>9.4945663066103556</v>
      </c>
      <c r="X46" s="5">
        <f t="shared" si="2"/>
        <v>8.1589561696931696</v>
      </c>
      <c r="Y46" s="5">
        <f t="shared" si="2"/>
        <v>7.0112276463462626</v>
      </c>
    </row>
    <row r="47" spans="1:25" s="2" customFormat="1">
      <c r="A47" s="140"/>
      <c r="B47" s="215"/>
      <c r="C47" s="241" t="s">
        <v>182</v>
      </c>
      <c r="D47" s="307">
        <f>D46*'Model input'!E27</f>
        <v>27.077703164261088</v>
      </c>
      <c r="E47" s="307">
        <f>E46*'Model input'!F27</f>
        <v>29.509095083253445</v>
      </c>
      <c r="F47" s="307">
        <f>F46*'Model input'!G27</f>
        <v>26.512015299529427</v>
      </c>
      <c r="G47" s="307">
        <f>G46*'Model input'!H27</f>
        <v>24.576638182663785</v>
      </c>
      <c r="H47" s="307">
        <f>H46*'Model input'!I27</f>
        <v>24.445669277788365</v>
      </c>
      <c r="I47" s="307">
        <f>I46*'Model input'!J27</f>
        <v>24.315398306207033</v>
      </c>
      <c r="J47" s="307">
        <f>J46*'Model input'!K27</f>
        <v>22.540374229853917</v>
      </c>
      <c r="K47" s="307">
        <f>K46*'Model input'!L27</f>
        <v>20.894926911074581</v>
      </c>
      <c r="L47" s="307">
        <f>L46*'Model input'!M27</f>
        <v>19.369597246566141</v>
      </c>
      <c r="M47" s="307">
        <f>M46*'Model input'!N27</f>
        <v>17.95561664756681</v>
      </c>
      <c r="O47" s="3" t="s">
        <v>109</v>
      </c>
      <c r="P47" s="5">
        <v>0</v>
      </c>
      <c r="Q47" s="5">
        <f t="shared" si="2"/>
        <v>0</v>
      </c>
      <c r="R47" s="5">
        <f t="shared" si="2"/>
        <v>0</v>
      </c>
      <c r="S47" s="5">
        <f t="shared" si="2"/>
        <v>43.068799999999996</v>
      </c>
      <c r="T47" s="5">
        <f t="shared" si="2"/>
        <v>53.392000000000003</v>
      </c>
      <c r="U47" s="5">
        <f t="shared" si="2"/>
        <v>54.092999999999996</v>
      </c>
      <c r="V47" s="5">
        <f t="shared" si="2"/>
        <v>12.857489999999999</v>
      </c>
      <c r="W47" s="5">
        <f t="shared" si="2"/>
        <v>11.048814024209999</v>
      </c>
      <c r="X47" s="5">
        <f t="shared" si="2"/>
        <v>9.4945663066103556</v>
      </c>
      <c r="Y47" s="5">
        <f t="shared" si="2"/>
        <v>8.1589561696931696</v>
      </c>
    </row>
    <row r="48" spans="1:25" s="2" customFormat="1">
      <c r="A48" s="140"/>
      <c r="B48" s="215"/>
      <c r="C48" s="259" t="s">
        <v>183</v>
      </c>
      <c r="D48" s="307">
        <f>D45*'Model input'!D40</f>
        <v>573.68015178519261</v>
      </c>
      <c r="E48" s="307">
        <f>E45*'Model input'!E40</f>
        <v>269.05351399436967</v>
      </c>
      <c r="F48" s="307">
        <f>F45*'Model input'!F40</f>
        <v>466.37701514893007</v>
      </c>
      <c r="G48" s="307">
        <f>G45*'Model input'!G40</f>
        <v>912.70898518845547</v>
      </c>
      <c r="H48" s="307">
        <f>H45*'Model input'!H40</f>
        <v>521.73738296433862</v>
      </c>
      <c r="I48" s="307">
        <f>I45*'Model input'!I40</f>
        <v>518.95704445052172</v>
      </c>
      <c r="J48" s="307">
        <f>J45*'Model input'!J40</f>
        <v>481.07318020563355</v>
      </c>
      <c r="K48" s="307">
        <f>K45*'Model input'!K40</f>
        <v>445.95483805062236</v>
      </c>
      <c r="L48" s="307">
        <f>L45*'Model input'!L40</f>
        <v>413.40013487292697</v>
      </c>
      <c r="M48" s="307">
        <f>M45*'Model input'!M40</f>
        <v>383.22192502720327</v>
      </c>
      <c r="O48" s="3" t="s">
        <v>110</v>
      </c>
      <c r="P48" s="5">
        <v>0</v>
      </c>
      <c r="Q48" s="5">
        <f t="shared" si="2"/>
        <v>0</v>
      </c>
      <c r="R48" s="5">
        <f t="shared" si="2"/>
        <v>0</v>
      </c>
      <c r="S48" s="5">
        <f t="shared" si="2"/>
        <v>0</v>
      </c>
      <c r="T48" s="5">
        <f t="shared" si="2"/>
        <v>43.068799999999996</v>
      </c>
      <c r="U48" s="5">
        <f t="shared" si="2"/>
        <v>53.392000000000003</v>
      </c>
      <c r="V48" s="5">
        <f t="shared" si="2"/>
        <v>54.092999999999996</v>
      </c>
      <c r="W48" s="5">
        <f t="shared" si="2"/>
        <v>12.857489999999999</v>
      </c>
      <c r="X48" s="5">
        <f t="shared" si="2"/>
        <v>11.048814024209999</v>
      </c>
      <c r="Y48" s="5">
        <f t="shared" si="2"/>
        <v>9.4945663066103556</v>
      </c>
    </row>
    <row r="49" spans="1:25" s="2" customFormat="1">
      <c r="A49" s="140"/>
      <c r="B49" s="215"/>
      <c r="C49" s="308" t="s">
        <v>184</v>
      </c>
      <c r="D49" s="309">
        <f t="shared" ref="D49:M49" si="3">D48-D47</f>
        <v>546.60244862093157</v>
      </c>
      <c r="E49" s="309">
        <f t="shared" si="3"/>
        <v>239.54441891111622</v>
      </c>
      <c r="F49" s="309">
        <f t="shared" si="3"/>
        <v>439.86499984940065</v>
      </c>
      <c r="G49" s="309">
        <f t="shared" si="3"/>
        <v>888.13234700579164</v>
      </c>
      <c r="H49" s="309">
        <f t="shared" si="3"/>
        <v>497.29171368655028</v>
      </c>
      <c r="I49" s="309">
        <f t="shared" si="3"/>
        <v>494.64164614431468</v>
      </c>
      <c r="J49" s="309">
        <f t="shared" si="3"/>
        <v>458.53280597577964</v>
      </c>
      <c r="K49" s="309">
        <f t="shared" si="3"/>
        <v>425.05991113954775</v>
      </c>
      <c r="L49" s="309">
        <f t="shared" si="3"/>
        <v>394.03053762636085</v>
      </c>
      <c r="M49" s="309">
        <f t="shared" si="3"/>
        <v>365.26630837963648</v>
      </c>
      <c r="O49" s="3" t="s">
        <v>111</v>
      </c>
      <c r="P49" s="5">
        <v>0</v>
      </c>
      <c r="Q49" s="5">
        <f t="shared" si="2"/>
        <v>0</v>
      </c>
      <c r="R49" s="5">
        <f t="shared" si="2"/>
        <v>0</v>
      </c>
      <c r="S49" s="5">
        <f t="shared" si="2"/>
        <v>0</v>
      </c>
      <c r="T49" s="5">
        <f t="shared" si="2"/>
        <v>0</v>
      </c>
      <c r="U49" s="5">
        <f t="shared" si="2"/>
        <v>43.068799999999996</v>
      </c>
      <c r="V49" s="5">
        <f t="shared" si="2"/>
        <v>53.392000000000003</v>
      </c>
      <c r="W49" s="5">
        <f t="shared" si="2"/>
        <v>54.092999999999996</v>
      </c>
      <c r="X49" s="5">
        <f t="shared" si="2"/>
        <v>12.857489999999999</v>
      </c>
      <c r="Y49" s="5">
        <f t="shared" si="2"/>
        <v>11.048814024209999</v>
      </c>
    </row>
    <row r="50" spans="1:25" s="2" customFormat="1" ht="15" customHeight="1">
      <c r="A50" s="140"/>
      <c r="B50" s="215"/>
      <c r="C50" s="310" t="s">
        <v>185</v>
      </c>
      <c r="D50" s="309">
        <f t="shared" ref="D50:M50" si="4">D49/(1+$C$3)^(D$43-2021)</f>
        <v>496.91131692811956</v>
      </c>
      <c r="E50" s="309">
        <f t="shared" si="4"/>
        <v>197.97059414141833</v>
      </c>
      <c r="F50" s="309">
        <f t="shared" si="4"/>
        <v>330.47708478542489</v>
      </c>
      <c r="G50" s="309">
        <f t="shared" si="4"/>
        <v>606.60634314991557</v>
      </c>
      <c r="H50" s="309">
        <f t="shared" si="4"/>
        <v>308.77902880860728</v>
      </c>
      <c r="I50" s="309">
        <f t="shared" si="4"/>
        <v>279.21231396735107</v>
      </c>
      <c r="J50" s="309">
        <f t="shared" si="4"/>
        <v>235.29983186157671</v>
      </c>
      <c r="K50" s="309">
        <f t="shared" si="4"/>
        <v>198.2935855778924</v>
      </c>
      <c r="L50" s="309">
        <f t="shared" si="4"/>
        <v>167.10741257336934</v>
      </c>
      <c r="M50" s="309">
        <f t="shared" si="4"/>
        <v>140.8259740504667</v>
      </c>
      <c r="O50" s="3" t="s">
        <v>112</v>
      </c>
      <c r="P50" s="5">
        <v>0</v>
      </c>
      <c r="Q50" s="5">
        <f t="shared" si="2"/>
        <v>0</v>
      </c>
      <c r="R50" s="5">
        <f t="shared" si="2"/>
        <v>0</v>
      </c>
      <c r="S50" s="5">
        <f t="shared" si="2"/>
        <v>0</v>
      </c>
      <c r="T50" s="5">
        <f t="shared" si="2"/>
        <v>0</v>
      </c>
      <c r="U50" s="5">
        <f t="shared" si="2"/>
        <v>0</v>
      </c>
      <c r="V50" s="5">
        <f t="shared" si="2"/>
        <v>43.068799999999996</v>
      </c>
      <c r="W50" s="5">
        <f t="shared" si="2"/>
        <v>53.392000000000003</v>
      </c>
      <c r="X50" s="5">
        <f t="shared" si="2"/>
        <v>54.092999999999996</v>
      </c>
      <c r="Y50" s="5">
        <f t="shared" si="2"/>
        <v>12.857489999999999</v>
      </c>
    </row>
    <row r="51" spans="1:25" s="2" customFormat="1" ht="15.6">
      <c r="A51" s="140"/>
      <c r="B51" s="215"/>
      <c r="C51" s="310" t="s">
        <v>186</v>
      </c>
      <c r="D51" s="129">
        <f>D50*'Model input'!$D$53</f>
        <v>9.6400795484055202</v>
      </c>
      <c r="E51" s="129">
        <f>E50*'Model input'!$D$53</f>
        <v>3.8406295263435157</v>
      </c>
      <c r="F51" s="129">
        <f>F50*'Model input'!$D$53</f>
        <v>6.4112554448372432</v>
      </c>
      <c r="G51" s="129">
        <f>G50*'Model input'!$D$53</f>
        <v>11.768163057108362</v>
      </c>
      <c r="H51" s="129">
        <f>H50*'Model input'!$D$53</f>
        <v>5.9903131588869813</v>
      </c>
      <c r="I51" s="129">
        <f>I50*'Model input'!$D$53</f>
        <v>5.4167188909666111</v>
      </c>
      <c r="J51" s="129">
        <f>J50*'Model input'!$D$53</f>
        <v>4.5648167381145885</v>
      </c>
      <c r="K51" s="129">
        <f>K50*'Model input'!$D$53</f>
        <v>3.8468955602111126</v>
      </c>
      <c r="L51" s="129">
        <f>L50*'Model input'!$D$53</f>
        <v>3.2418838039233653</v>
      </c>
      <c r="M51" s="129">
        <f>M50*'Model input'!$D$53</f>
        <v>2.732023896579054</v>
      </c>
      <c r="O51" s="3" t="s">
        <v>113</v>
      </c>
      <c r="P51" s="5">
        <v>0</v>
      </c>
      <c r="Q51" s="5">
        <f t="shared" si="2"/>
        <v>0</v>
      </c>
      <c r="R51" s="5">
        <f t="shared" si="2"/>
        <v>0</v>
      </c>
      <c r="S51" s="5">
        <f t="shared" si="2"/>
        <v>0</v>
      </c>
      <c r="T51" s="5">
        <f t="shared" si="2"/>
        <v>0</v>
      </c>
      <c r="U51" s="5">
        <f t="shared" si="2"/>
        <v>0</v>
      </c>
      <c r="V51" s="5">
        <f t="shared" si="2"/>
        <v>0</v>
      </c>
      <c r="W51" s="5">
        <f t="shared" si="2"/>
        <v>43.068799999999996</v>
      </c>
      <c r="X51" s="5">
        <f t="shared" si="2"/>
        <v>53.392000000000003</v>
      </c>
      <c r="Y51" s="5">
        <f t="shared" si="2"/>
        <v>54.092999999999996</v>
      </c>
    </row>
    <row r="52" spans="1:25" s="1" customFormat="1">
      <c r="A52" s="301"/>
      <c r="B52" s="213" t="s">
        <v>61</v>
      </c>
      <c r="C52" s="241" t="s">
        <v>187</v>
      </c>
      <c r="D52" s="302">
        <v>0.313</v>
      </c>
      <c r="E52" s="302">
        <v>0.376</v>
      </c>
      <c r="F52" s="302">
        <v>0.39</v>
      </c>
      <c r="G52" s="303">
        <v>0.1</v>
      </c>
      <c r="H52" s="303">
        <f>G52-G52*0.073</f>
        <v>9.2700000000000005E-2</v>
      </c>
      <c r="I52" s="303">
        <f t="shared" ref="I52:M52" si="5">H52-H52*0.073</f>
        <v>8.5932900000000007E-2</v>
      </c>
      <c r="J52" s="303">
        <f t="shared" si="5"/>
        <v>7.9659798300000001E-2</v>
      </c>
      <c r="K52" s="303">
        <f t="shared" si="5"/>
        <v>7.3844633024100007E-2</v>
      </c>
      <c r="L52" s="303">
        <f t="shared" si="5"/>
        <v>6.8453974813340701E-2</v>
      </c>
      <c r="M52" s="303">
        <f t="shared" si="5"/>
        <v>6.3456834651966831E-2</v>
      </c>
      <c r="N52" s="273"/>
      <c r="O52" s="3" t="s">
        <v>114</v>
      </c>
      <c r="P52" s="5">
        <v>0</v>
      </c>
      <c r="Q52" s="5">
        <f t="shared" si="2"/>
        <v>0</v>
      </c>
      <c r="R52" s="5">
        <f t="shared" si="2"/>
        <v>0</v>
      </c>
      <c r="S52" s="5">
        <f t="shared" si="2"/>
        <v>0</v>
      </c>
      <c r="T52" s="5">
        <f t="shared" si="2"/>
        <v>0</v>
      </c>
      <c r="U52" s="5">
        <f t="shared" si="2"/>
        <v>0</v>
      </c>
      <c r="V52" s="5">
        <f t="shared" si="2"/>
        <v>0</v>
      </c>
      <c r="W52" s="5">
        <f t="shared" si="2"/>
        <v>0</v>
      </c>
      <c r="X52" s="5">
        <f t="shared" si="2"/>
        <v>43.068799999999996</v>
      </c>
      <c r="Y52" s="5">
        <f t="shared" si="2"/>
        <v>53.392000000000003</v>
      </c>
    </row>
    <row r="53" spans="1:25" s="1" customFormat="1">
      <c r="A53" s="301"/>
      <c r="B53" s="213"/>
      <c r="C53" s="241" t="s">
        <v>188</v>
      </c>
      <c r="D53" s="311">
        <v>137.6</v>
      </c>
      <c r="E53" s="311">
        <v>142</v>
      </c>
      <c r="F53" s="311">
        <v>138.69999999999999</v>
      </c>
      <c r="G53" s="312">
        <f>F53-F53*0.073</f>
        <v>128.57489999999999</v>
      </c>
      <c r="H53" s="312">
        <f>G53-G53*0.073</f>
        <v>119.18893229999999</v>
      </c>
      <c r="I53" s="312">
        <f t="shared" ref="I53:M53" si="6">H53-H53*0.073</f>
        <v>110.48814024209999</v>
      </c>
      <c r="J53" s="312">
        <f t="shared" si="6"/>
        <v>102.42250600442669</v>
      </c>
      <c r="K53" s="312">
        <f t="shared" si="6"/>
        <v>94.945663066103549</v>
      </c>
      <c r="L53" s="312">
        <f t="shared" si="6"/>
        <v>88.014629662277997</v>
      </c>
      <c r="M53" s="312">
        <f t="shared" si="6"/>
        <v>81.58956169693171</v>
      </c>
      <c r="N53" s="273"/>
      <c r="O53" s="6" t="s">
        <v>189</v>
      </c>
      <c r="P53" s="7">
        <f>P44*'Model input'!$C$33+P45*'Model input'!$D$33+P46*'Model input'!$E$33+P47*'Model input'!$F$33+P48*'Model input'!$G$33+P49*'Model input'!$H$33+P50*'Model input'!$I$33+P51*'Model input'!$J$33+P52*'Model input'!$K$33</f>
        <v>-47.375680000000003</v>
      </c>
      <c r="Q53" s="7">
        <f>Q44*'Model input'!$C$33+Q45*'Model input'!$D$33+Q46*'Model input'!$E$33+Q47*'Model input'!$F$33+Q48*'Model input'!$G$33+Q49*'Model input'!$H$33+Q50*'Model input'!$I$33+Q51*'Model input'!$J$33+Q52*'Model input'!$K$33</f>
        <v>-75.961734816000003</v>
      </c>
      <c r="R53" s="7">
        <f>R44*'Model input'!$C$33+R45*'Model input'!$D$33+R46*'Model input'!$E$33+R47*'Model input'!$F$33+R48*'Model input'!$G$33+R49*'Model input'!$H$33+R50*'Model input'!$I$33+R51*'Model input'!$J$33+R52*'Model input'!$K$33</f>
        <v>-7.6493229439999908</v>
      </c>
      <c r="S53" s="7">
        <f>S44*'Model input'!$C$33+S45*'Model input'!$D$33+S46*'Model input'!$E$33+S47*'Model input'!$F$33+S48*'Model input'!$G$33+S49*'Model input'!$H$33+S50*'Model input'!$I$33+S51*'Model input'!$J$33+S52*'Model input'!$K$33</f>
        <v>141.11205762600002</v>
      </c>
      <c r="T53" s="7">
        <f>T44*'Model input'!$C$33+T45*'Model input'!$D$33+T46*'Model input'!$E$33+T47*'Model input'!$F$33+T48*'Model input'!$G$33+T49*'Model input'!$H$33+T50*'Model input'!$I$33+T51*'Model input'!$J$33+T52*'Model input'!$K$33</f>
        <v>258.95974974906903</v>
      </c>
      <c r="U53" s="7">
        <f>U44*'Model input'!$C$33+U45*'Model input'!$D$33+U46*'Model input'!$E$33+U47*'Model input'!$F$33+U48*'Model input'!$G$33+U49*'Model input'!$H$33+U50*'Model input'!$I$33+U51*'Model input'!$J$33+U52*'Model input'!$K$33</f>
        <v>267.26909499686292</v>
      </c>
      <c r="V53" s="7">
        <f>V44*'Model input'!$C$33+V45*'Model input'!$D$33+V46*'Model input'!$E$33+V47*'Model input'!$F$33+V48*'Model input'!$G$33+V49*'Model input'!$H$33+V50*'Model input'!$I$33+V51*'Model input'!$J$33+V52*'Model input'!$K$33</f>
        <v>237.26162840788697</v>
      </c>
      <c r="W53" s="7">
        <f>W44*'Model input'!$C$33+W45*'Model input'!$D$33+W46*'Model input'!$E$33+W47*'Model input'!$F$33+W48*'Model input'!$G$33+W49*'Model input'!$H$33+W50*'Model input'!$I$33+W51*'Model input'!$J$33+W52*'Model input'!$K$33</f>
        <v>203.23246529344112</v>
      </c>
      <c r="X53" s="7">
        <f>X44*'Model input'!$C$33+X45*'Model input'!$D$33+X46*'Model input'!$E$33+X47*'Model input'!$F$33+X48*'Model input'!$G$33+X49*'Model input'!$H$33+X50*'Model input'!$I$33+X51*'Model input'!$J$33+X52*'Model input'!$K$33</f>
        <v>198.80109985268746</v>
      </c>
      <c r="Y53" s="7">
        <f>Y44*'Model input'!$C$33+Y45*'Model input'!$D$33+Y46*'Model input'!$E$33+Y47*'Model input'!$F$33+Y48*'Model input'!$G$33+Y49*'Model input'!$H$33+Y50*'Model input'!$I$33+Y51*'Model input'!$J$33+Y52*'Model input'!$K$33</f>
        <v>165.16124520489006</v>
      </c>
    </row>
    <row r="54" spans="1:25" s="1" customFormat="1">
      <c r="A54" s="301"/>
      <c r="B54" s="213"/>
      <c r="C54" s="241" t="s">
        <v>190</v>
      </c>
      <c r="D54" s="313">
        <f>PRODUCT(D52:D53)</f>
        <v>43.068799999999996</v>
      </c>
      <c r="E54" s="313">
        <f t="shared" ref="E54:M54" si="7">PRODUCT(E52:E53)</f>
        <v>53.392000000000003</v>
      </c>
      <c r="F54" s="313">
        <f t="shared" si="7"/>
        <v>54.092999999999996</v>
      </c>
      <c r="G54" s="313">
        <f t="shared" si="7"/>
        <v>12.857489999999999</v>
      </c>
      <c r="H54" s="313">
        <f t="shared" si="7"/>
        <v>11.048814024209999</v>
      </c>
      <c r="I54" s="313">
        <f t="shared" si="7"/>
        <v>9.4945663066103556</v>
      </c>
      <c r="J54" s="313">
        <f t="shared" si="7"/>
        <v>8.1589561696931696</v>
      </c>
      <c r="K54" s="313">
        <f t="shared" si="7"/>
        <v>7.0112276463462626</v>
      </c>
      <c r="L54" s="313">
        <f t="shared" si="7"/>
        <v>6.024951242107087</v>
      </c>
      <c r="M54" s="313">
        <f t="shared" si="7"/>
        <v>5.1774153259286422</v>
      </c>
      <c r="N54" s="273"/>
      <c r="O54"/>
      <c r="P54"/>
      <c r="Q54"/>
      <c r="R54" s="273"/>
      <c r="S54" s="273"/>
      <c r="T54" s="273"/>
      <c r="U54" s="273"/>
      <c r="V54" s="273"/>
      <c r="W54" s="273"/>
      <c r="X54" s="273"/>
      <c r="Y54" s="314"/>
    </row>
    <row r="55" spans="1:25" s="1" customFormat="1">
      <c r="A55" s="301"/>
      <c r="B55" s="213"/>
      <c r="C55" s="241" t="s">
        <v>179</v>
      </c>
      <c r="D55" s="313">
        <f t="shared" ref="D55:M55" si="8">P53</f>
        <v>-47.375680000000003</v>
      </c>
      <c r="E55" s="313">
        <f t="shared" si="8"/>
        <v>-75.961734816000003</v>
      </c>
      <c r="F55" s="313">
        <f t="shared" si="8"/>
        <v>-7.6493229439999908</v>
      </c>
      <c r="G55" s="313">
        <f t="shared" si="8"/>
        <v>141.11205762600002</v>
      </c>
      <c r="H55" s="313">
        <f t="shared" si="8"/>
        <v>258.95974974906903</v>
      </c>
      <c r="I55" s="313">
        <f t="shared" si="8"/>
        <v>267.26909499686292</v>
      </c>
      <c r="J55" s="313">
        <f t="shared" si="8"/>
        <v>237.26162840788697</v>
      </c>
      <c r="K55" s="313">
        <f t="shared" si="8"/>
        <v>203.23246529344112</v>
      </c>
      <c r="L55" s="313">
        <f t="shared" si="8"/>
        <v>198.80109985268746</v>
      </c>
      <c r="M55" s="313">
        <f t="shared" si="8"/>
        <v>165.16124520489006</v>
      </c>
      <c r="N55" s="273"/>
      <c r="O55"/>
      <c r="P55"/>
      <c r="Q55"/>
      <c r="R55" s="273"/>
      <c r="S55" s="273"/>
      <c r="T55" s="273"/>
      <c r="U55" s="273"/>
      <c r="V55" s="273"/>
      <c r="W55" s="273"/>
      <c r="X55" s="273"/>
      <c r="Y55" s="314"/>
    </row>
    <row r="56" spans="1:25" s="1" customFormat="1">
      <c r="A56" s="301"/>
      <c r="B56" s="213"/>
      <c r="C56" s="241" t="s">
        <v>191</v>
      </c>
      <c r="D56" s="306">
        <f>(D55/'Model input'!$C$20)+(D54*'Model input'!$C$21)</f>
        <v>-0.51682560000000011</v>
      </c>
      <c r="E56" s="306">
        <f>(E55/'Model input'!$C$20)+(E54*'Model input'!$C$21)</f>
        <v>-0.98531469632000002</v>
      </c>
      <c r="F56" s="306">
        <f>(F55/'Model input'!$C$20)+(F54*'Model input'!$C$21)</f>
        <v>0.38794354112000018</v>
      </c>
      <c r="G56" s="306">
        <f>(G55/'Model input'!$C$20)+(G54*'Model input'!$C$21)</f>
        <v>2.9508160525200005</v>
      </c>
      <c r="H56" s="306">
        <f>(H55/'Model input'!$C$20)+(H54*'Model input'!$C$21)</f>
        <v>5.2896831352234805</v>
      </c>
      <c r="I56" s="306">
        <f>(I55/'Model input'!$C$20)+(I54*'Model input'!$C$21)</f>
        <v>5.4403275630033621</v>
      </c>
      <c r="J56" s="306">
        <f>(J55/'Model input'!$C$20)+(J54*'Model input'!$C$21)</f>
        <v>4.826822129854671</v>
      </c>
      <c r="K56" s="306">
        <f>(K55/'Model input'!$C$20)+(K54*'Model input'!$C$21)</f>
        <v>4.1347615823322856</v>
      </c>
      <c r="L56" s="306">
        <f>(L55/'Model input'!$C$20)+(L54*'Model input'!$C$21)</f>
        <v>4.0362715094748198</v>
      </c>
      <c r="M56" s="306">
        <f>(M55/'Model input'!$C$20)+(M54*'Model input'!$C$21)</f>
        <v>3.3549990573570878</v>
      </c>
      <c r="N56" s="273"/>
      <c r="O56"/>
      <c r="P56"/>
      <c r="Q56"/>
      <c r="R56" s="273"/>
      <c r="S56" s="273"/>
      <c r="T56" s="273"/>
      <c r="U56" s="273"/>
      <c r="V56" s="273"/>
      <c r="W56" s="273"/>
      <c r="X56" s="273"/>
      <c r="Y56" s="314"/>
    </row>
    <row r="57" spans="1:25" s="1" customFormat="1" ht="14.1" customHeight="1">
      <c r="A57" s="301"/>
      <c r="B57" s="213"/>
      <c r="C57" s="241" t="s">
        <v>192</v>
      </c>
      <c r="D57" s="307">
        <f>D56*'Model input'!E27</f>
        <v>-45.733497334938356</v>
      </c>
      <c r="E57" s="307">
        <f>E56*'Model input'!F27</f>
        <v>-95.018774707953838</v>
      </c>
      <c r="F57" s="307">
        <f>F56*'Model input'!G27</f>
        <v>33.611650645513294</v>
      </c>
      <c r="G57" s="307">
        <f>G56*'Model input'!H27</f>
        <v>255.6603932369519</v>
      </c>
      <c r="H57" s="307">
        <f>H56*'Model input'!I27</f>
        <v>458.3011771591755</v>
      </c>
      <c r="I57" s="307">
        <f>I56*'Model input'!J27</f>
        <v>471.35309668234243</v>
      </c>
      <c r="J57" s="307">
        <f>J56*'Model input'!K27</f>
        <v>418.19863449285702</v>
      </c>
      <c r="K57" s="307">
        <f>K56*'Model input'!L27</f>
        <v>358.23811219183028</v>
      </c>
      <c r="L57" s="307">
        <f>L56*'Model input'!M27</f>
        <v>349.70487585702995</v>
      </c>
      <c r="M57" s="307">
        <f>M56*'Model input'!N27</f>
        <v>290.67904032208469</v>
      </c>
      <c r="N57" s="273"/>
      <c r="O57"/>
      <c r="P57"/>
      <c r="Q57"/>
      <c r="R57" s="273"/>
      <c r="S57" s="273"/>
      <c r="T57" s="273"/>
      <c r="U57" s="273"/>
      <c r="V57" s="273"/>
      <c r="W57" s="273"/>
      <c r="X57" s="273"/>
      <c r="Y57" s="314"/>
    </row>
    <row r="58" spans="1:25" s="1" customFormat="1">
      <c r="A58" s="301"/>
      <c r="B58" s="213"/>
      <c r="C58" s="310" t="s">
        <v>184</v>
      </c>
      <c r="D58" s="315">
        <f>D55*'Model input'!D40-D57</f>
        <v>-1730.6382211831474</v>
      </c>
      <c r="E58" s="315">
        <f>E55*'Model input'!E40-E57</f>
        <v>-1240.7832959687294</v>
      </c>
      <c r="F58" s="315">
        <f>F55*'Model input'!F40-F57</f>
        <v>-266.77952009211083</v>
      </c>
      <c r="G58" s="315">
        <f>G55*'Model input'!G40-G57</f>
        <v>8825.164173584215</v>
      </c>
      <c r="H58" s="315">
        <f>H55*'Model input'!H40-H57</f>
        <v>9118.7895368968348</v>
      </c>
      <c r="I58" s="315">
        <f>I55*'Model input'!I40-I57</f>
        <v>9413.0415643756423</v>
      </c>
      <c r="J58" s="315">
        <f>J55*'Model input'!J40-J57</f>
        <v>8356.4319419917447</v>
      </c>
      <c r="K58" s="315">
        <f>K55*'Model input'!K40-K57</f>
        <v>7157.8942521719591</v>
      </c>
      <c r="L58" s="315">
        <f>L55*'Model input'!L40-L57</f>
        <v>7002.5426034836837</v>
      </c>
      <c r="M58" s="315">
        <f>M55*'Model input'!M40-M57</f>
        <v>5817.4679952940824</v>
      </c>
      <c r="N58" s="273"/>
      <c r="O58"/>
      <c r="P58"/>
      <c r="Q58"/>
      <c r="R58" s="273"/>
      <c r="S58" s="273"/>
      <c r="T58" s="273"/>
      <c r="U58" s="273"/>
      <c r="V58" s="273"/>
      <c r="W58" s="273"/>
      <c r="X58" s="273"/>
      <c r="Y58" s="314"/>
    </row>
    <row r="59" spans="1:25" s="1" customFormat="1">
      <c r="A59" s="301"/>
      <c r="B59" s="213"/>
      <c r="C59" s="310" t="s">
        <v>193</v>
      </c>
      <c r="D59" s="315">
        <f t="shared" ref="D59:M59" si="9">D58/(1+$C$3)^(D$43-2021)</f>
        <v>-1573.3074738028611</v>
      </c>
      <c r="E59" s="315">
        <f t="shared" si="9"/>
        <v>-1025.4407404700241</v>
      </c>
      <c r="F59" s="315">
        <f t="shared" si="9"/>
        <v>-200.43540202262264</v>
      </c>
      <c r="G59" s="315">
        <f t="shared" si="9"/>
        <v>6027.7058763637815</v>
      </c>
      <c r="H59" s="315">
        <f t="shared" si="9"/>
        <v>5662.0508639479613</v>
      </c>
      <c r="I59" s="315">
        <f t="shared" si="9"/>
        <v>5313.4165656026735</v>
      </c>
      <c r="J59" s="315">
        <f t="shared" si="9"/>
        <v>4288.1708904754514</v>
      </c>
      <c r="K59" s="315">
        <f t="shared" si="9"/>
        <v>3339.2104953990479</v>
      </c>
      <c r="L59" s="315">
        <f t="shared" si="9"/>
        <v>2969.7616406892885</v>
      </c>
      <c r="M59" s="315">
        <f t="shared" si="9"/>
        <v>2242.8857470567027</v>
      </c>
      <c r="N59" s="273"/>
      <c r="O59"/>
      <c r="P59"/>
      <c r="Q59"/>
      <c r="R59" s="273"/>
      <c r="S59" s="273"/>
      <c r="T59" s="273"/>
      <c r="U59" s="273"/>
      <c r="V59" s="273"/>
      <c r="W59" s="273"/>
      <c r="X59" s="273"/>
      <c r="Y59" s="314"/>
    </row>
    <row r="60" spans="1:25" s="1" customFormat="1" ht="15.6">
      <c r="A60" s="301"/>
      <c r="B60" s="213"/>
      <c r="C60" s="310" t="s">
        <v>186</v>
      </c>
      <c r="D60" s="129">
        <f>D59*'Model input'!$D$53</f>
        <v>-30.522164991775504</v>
      </c>
      <c r="E60" s="129">
        <f>E59*'Model input'!$D$53</f>
        <v>-19.893550365118468</v>
      </c>
      <c r="F60" s="129">
        <f>F59*'Model input'!$D$53</f>
        <v>-3.8884467992388791</v>
      </c>
      <c r="G60" s="129">
        <f>G59*'Model input'!$D$53</f>
        <v>116.93749400145737</v>
      </c>
      <c r="H60" s="129">
        <f>H59*'Model input'!$D$53</f>
        <v>109.84378676059045</v>
      </c>
      <c r="I60" s="129">
        <f>I59*'Model input'!$D$53</f>
        <v>103.08028137269187</v>
      </c>
      <c r="J60" s="129">
        <f>J59*'Model input'!$D$53</f>
        <v>83.19051527522376</v>
      </c>
      <c r="K60" s="129">
        <f>K59*'Model input'!$D$53</f>
        <v>64.780683610741534</v>
      </c>
      <c r="L60" s="129">
        <f>L59*'Model input'!$D$53</f>
        <v>57.613375829372195</v>
      </c>
      <c r="M60" s="129">
        <f>M59*'Model input'!$D$53</f>
        <v>43.511983492900036</v>
      </c>
      <c r="N60" s="273"/>
      <c r="O60"/>
      <c r="P60"/>
      <c r="Q60"/>
      <c r="R60" s="273"/>
      <c r="S60" s="273"/>
      <c r="T60" s="273"/>
      <c r="U60" s="273"/>
      <c r="V60" s="273"/>
      <c r="W60" s="273"/>
      <c r="X60" s="273"/>
      <c r="Y60" s="314"/>
    </row>
    <row r="61" spans="1:25" s="1" customFormat="1" ht="21.95" customHeight="1">
      <c r="A61" s="301"/>
      <c r="B61" s="213" t="s">
        <v>63</v>
      </c>
      <c r="C61" s="316" t="s">
        <v>194</v>
      </c>
      <c r="D61" s="307" t="s">
        <v>195</v>
      </c>
      <c r="E61" s="317">
        <f>286</f>
        <v>286</v>
      </c>
      <c r="F61" s="307" t="s">
        <v>195</v>
      </c>
      <c r="G61" s="307" t="s">
        <v>195</v>
      </c>
      <c r="H61" s="307" t="s">
        <v>195</v>
      </c>
      <c r="I61" s="307" t="s">
        <v>195</v>
      </c>
      <c r="J61" s="307" t="s">
        <v>195</v>
      </c>
      <c r="K61" s="307" t="s">
        <v>195</v>
      </c>
      <c r="L61" s="307" t="s">
        <v>195</v>
      </c>
      <c r="M61" s="307" t="s">
        <v>195</v>
      </c>
      <c r="N61" s="273"/>
      <c r="O61"/>
      <c r="P61"/>
      <c r="Q61"/>
      <c r="R61" s="273"/>
      <c r="S61" s="273"/>
      <c r="T61" s="273"/>
      <c r="U61" s="273"/>
      <c r="V61" s="273"/>
      <c r="W61" s="273"/>
      <c r="X61" s="273"/>
      <c r="Y61" s="314"/>
    </row>
    <row r="62" spans="1:25" s="1" customFormat="1">
      <c r="A62" s="301"/>
      <c r="B62" s="213"/>
      <c r="C62" s="310" t="s">
        <v>196</v>
      </c>
      <c r="D62" s="309" t="s">
        <v>195</v>
      </c>
      <c r="E62" s="309">
        <f>E61/('Model input'!F$47/'Model input'!$D$47)</f>
        <v>162.23762387178942</v>
      </c>
      <c r="F62" s="309">
        <f>E62</f>
        <v>162.23762387178942</v>
      </c>
      <c r="G62" s="309">
        <f t="shared" ref="G62:M62" si="10">F62</f>
        <v>162.23762387178942</v>
      </c>
      <c r="H62" s="309">
        <f t="shared" si="10"/>
        <v>162.23762387178942</v>
      </c>
      <c r="I62" s="309">
        <f t="shared" si="10"/>
        <v>162.23762387178942</v>
      </c>
      <c r="J62" s="309">
        <f t="shared" si="10"/>
        <v>162.23762387178942</v>
      </c>
      <c r="K62" s="309">
        <f t="shared" si="10"/>
        <v>162.23762387178942</v>
      </c>
      <c r="L62" s="309">
        <f t="shared" si="10"/>
        <v>162.23762387178942</v>
      </c>
      <c r="M62" s="309">
        <f t="shared" si="10"/>
        <v>162.23762387178942</v>
      </c>
      <c r="N62" s="273"/>
      <c r="O62"/>
      <c r="P62"/>
      <c r="Q62"/>
      <c r="R62" s="273"/>
      <c r="S62" s="273"/>
      <c r="T62" s="273"/>
      <c r="U62" s="273"/>
      <c r="V62" s="273"/>
      <c r="W62" s="273"/>
      <c r="X62" s="273"/>
      <c r="Y62" s="314"/>
    </row>
    <row r="63" spans="1:25" s="1" customFormat="1">
      <c r="A63" s="301"/>
      <c r="B63" s="213"/>
      <c r="C63" s="310" t="s">
        <v>197</v>
      </c>
      <c r="D63" s="309" t="s">
        <v>195</v>
      </c>
      <c r="E63" s="309">
        <f t="shared" ref="E63:M63" si="11">E62/(1+$C$3)^(E$43-2021)</f>
        <v>134.08068088577636</v>
      </c>
      <c r="F63" s="309">
        <f t="shared" si="11"/>
        <v>121.89152807797849</v>
      </c>
      <c r="G63" s="309">
        <f t="shared" si="11"/>
        <v>110.81048007088954</v>
      </c>
      <c r="H63" s="309">
        <f t="shared" si="11"/>
        <v>100.73680006444503</v>
      </c>
      <c r="I63" s="309">
        <f t="shared" si="11"/>
        <v>91.578909149495473</v>
      </c>
      <c r="J63" s="309">
        <f t="shared" si="11"/>
        <v>83.253553772268603</v>
      </c>
      <c r="K63" s="309">
        <f t="shared" si="11"/>
        <v>75.685048883880555</v>
      </c>
      <c r="L63" s="309">
        <f t="shared" si="11"/>
        <v>68.804589894436859</v>
      </c>
      <c r="M63" s="309">
        <f t="shared" si="11"/>
        <v>62.549627176760772</v>
      </c>
      <c r="N63" s="273"/>
      <c r="O63"/>
      <c r="P63"/>
      <c r="Q63"/>
      <c r="R63" s="273"/>
      <c r="S63" s="273"/>
      <c r="T63" s="273"/>
      <c r="U63" s="273"/>
      <c r="V63" s="273"/>
      <c r="W63" s="273"/>
      <c r="X63" s="273"/>
      <c r="Y63" s="314"/>
    </row>
    <row r="64" spans="1:25" s="1" customFormat="1" ht="15.6">
      <c r="A64" s="301"/>
      <c r="B64" s="213"/>
      <c r="C64" s="310" t="s">
        <v>186</v>
      </c>
      <c r="D64" s="129">
        <v>0</v>
      </c>
      <c r="E64" s="129">
        <f>E63*'Model input'!$D$53</f>
        <v>2.6011652091840616</v>
      </c>
      <c r="F64" s="129">
        <f>F63*'Model input'!$D$53</f>
        <v>2.3646956447127829</v>
      </c>
      <c r="G64" s="129">
        <f>G63*'Model input'!$D$53</f>
        <v>2.1497233133752571</v>
      </c>
      <c r="H64" s="129">
        <f>H63*'Model input'!$D$53</f>
        <v>1.9542939212502337</v>
      </c>
      <c r="I64" s="129">
        <f>I63*'Model input'!$D$53</f>
        <v>1.7766308375002122</v>
      </c>
      <c r="J64" s="129">
        <f>J63*'Model input'!$D$53</f>
        <v>1.615118943182011</v>
      </c>
      <c r="K64" s="129">
        <f>K63*'Model input'!$D$53</f>
        <v>1.4682899483472829</v>
      </c>
      <c r="L64" s="129">
        <f>L63*'Model input'!$D$53</f>
        <v>1.334809043952075</v>
      </c>
      <c r="M64" s="129">
        <f>M63*'Model input'!$D$53</f>
        <v>1.2134627672291589</v>
      </c>
      <c r="N64" s="273"/>
      <c r="O64"/>
      <c r="P64"/>
      <c r="Q64"/>
      <c r="R64" s="273"/>
      <c r="S64" s="273"/>
      <c r="T64" s="273"/>
      <c r="U64" s="273"/>
      <c r="V64" s="273"/>
      <c r="W64" s="273"/>
      <c r="X64" s="273"/>
      <c r="Y64" s="314"/>
    </row>
    <row r="65" spans="1:25" s="1" customFormat="1" ht="18.600000000000001" customHeight="1">
      <c r="A65" s="301"/>
      <c r="B65" s="213" t="s">
        <v>198</v>
      </c>
      <c r="C65" s="241" t="s">
        <v>199</v>
      </c>
      <c r="D65" s="318">
        <v>0.3</v>
      </c>
      <c r="E65" s="318">
        <v>0.3</v>
      </c>
      <c r="F65" s="319">
        <v>0.3</v>
      </c>
      <c r="G65" s="319">
        <v>0.3</v>
      </c>
      <c r="H65" s="319">
        <v>0.3</v>
      </c>
      <c r="I65" s="319">
        <v>0.3</v>
      </c>
      <c r="J65" s="319">
        <v>0.3</v>
      </c>
      <c r="K65" s="319">
        <v>0.3</v>
      </c>
      <c r="L65" s="319">
        <v>0.3</v>
      </c>
      <c r="M65" s="319">
        <v>0.3</v>
      </c>
      <c r="N65" s="273"/>
      <c r="O65"/>
      <c r="P65"/>
      <c r="Q65"/>
      <c r="R65" s="273"/>
      <c r="S65" s="273"/>
      <c r="T65" s="273"/>
      <c r="U65" s="273"/>
      <c r="V65" s="273"/>
      <c r="W65" s="273"/>
      <c r="X65" s="273"/>
      <c r="Y65" s="314"/>
    </row>
    <row r="66" spans="1:25" s="1" customFormat="1" ht="15.95" customHeight="1">
      <c r="A66" s="301"/>
      <c r="B66" s="213"/>
      <c r="C66" s="320" t="s">
        <v>200</v>
      </c>
      <c r="D66" s="318">
        <v>0.14000000000000001</v>
      </c>
      <c r="E66" s="318">
        <v>0.14000000000000001</v>
      </c>
      <c r="F66" s="319">
        <v>0.14000000000000001</v>
      </c>
      <c r="G66" s="319">
        <v>0.14000000000000001</v>
      </c>
      <c r="H66" s="319">
        <v>0.14000000000000001</v>
      </c>
      <c r="I66" s="319">
        <v>0.14000000000000001</v>
      </c>
      <c r="J66" s="319">
        <v>0.14000000000000001</v>
      </c>
      <c r="K66" s="319">
        <v>0.14000000000000001</v>
      </c>
      <c r="L66" s="319">
        <v>0.14000000000000001</v>
      </c>
      <c r="M66" s="319">
        <v>0.14000000000000001</v>
      </c>
      <c r="N66" s="273"/>
      <c r="O66"/>
      <c r="P66"/>
      <c r="Q66"/>
      <c r="R66" s="273"/>
      <c r="S66" s="273"/>
      <c r="T66" s="273"/>
      <c r="U66" s="273"/>
      <c r="V66" s="273"/>
      <c r="W66" s="273"/>
      <c r="X66" s="273"/>
      <c r="Y66" s="314"/>
    </row>
    <row r="67" spans="1:25" s="1" customFormat="1">
      <c r="A67" s="301"/>
      <c r="B67" s="213"/>
      <c r="C67" s="310" t="s">
        <v>196</v>
      </c>
      <c r="D67" s="309">
        <f>(D65*D66*$C$18*$C$17*'Model input'!D40)+(D65*D66*D55*'Model input'!D40)+(D65*D66*D45*'Model input'!D40)</f>
        <v>658.15067110833866</v>
      </c>
      <c r="E67" s="309">
        <f>(E65*E66*$C$18*$C$17*'Model input'!E40)+(E65*E66*E55*'Model input'!E40)+(E65*E66*E45*'Model input'!E40)</f>
        <v>287.5567837888583</v>
      </c>
      <c r="F67" s="309">
        <f>(F65*F66*$C$18*$C$17*'Model input'!F40)+(F65*F66*F55*'Model input'!F40)+(F65*F66*F45*'Model input'!F40)</f>
        <v>585.90756753876451</v>
      </c>
      <c r="G67" s="309">
        <f>(G65*G66*$C$18*$C$17*'Model input'!G40)+(G65*G66*G55*'Model input'!G40)+(G65*G66*G45*'Model input'!G40)</f>
        <v>1635.9787225899224</v>
      </c>
      <c r="H67" s="309">
        <f>(H65*H66*$C$18*$C$17*'Model input'!H40)+(H65*H66*H55*'Model input'!H40)+(H65*H66*H45*'Model input'!H40)</f>
        <v>1123.1281874559388</v>
      </c>
      <c r="I67" s="309">
        <f>(I65*I66*$C$18*$C$17*'Model input'!I40)+(I65*I66*I55*'Model input'!I40)+(I65*I66*I45*'Model input'!I40)</f>
        <v>1135.9181790124414</v>
      </c>
      <c r="J67" s="309">
        <f>(J65*J66*$C$18*$C$17*'Model input'!J40)+(J65*J66*J55*'Model input'!J40)+(J65*J66*J45*'Model input'!J40)</f>
        <v>1087.7169651620741</v>
      </c>
      <c r="K67" s="309">
        <f>(K65*K66*$C$18*$C$17*'Model input'!K40)+(K65*K66*K55*'Model input'!K40)+(K65*K66*K45*'Model input'!K40)</f>
        <v>1033.3850698824895</v>
      </c>
      <c r="L67" s="309">
        <f>(L65*L66*$C$18*$C$17*'Model input'!L40)+(L65*L66*L55*'Model input'!L40)+(L65*L66*L45*'Model input'!L40)</f>
        <v>1025.1346071780572</v>
      </c>
      <c r="M67" s="309">
        <f>(M65*M66*$C$18*$C$17*'Model input'!M40)+(M65*M66*M55*'Model input'!M40)+(M65*M66*M45*'Model input'!M40)</f>
        <v>971.61490372810579</v>
      </c>
      <c r="N67" s="273"/>
      <c r="O67"/>
      <c r="P67"/>
      <c r="Q67"/>
      <c r="R67" s="273"/>
      <c r="S67" s="273"/>
      <c r="T67" s="273"/>
      <c r="U67" s="273"/>
      <c r="V67" s="273"/>
      <c r="W67" s="273"/>
      <c r="X67" s="273"/>
      <c r="Y67" s="314"/>
    </row>
    <row r="68" spans="1:25" s="1" customFormat="1">
      <c r="A68" s="301"/>
      <c r="B68" s="213"/>
      <c r="C68" s="310" t="s">
        <v>197</v>
      </c>
      <c r="D68" s="309">
        <f t="shared" ref="D68:M68" si="12">D67/(1+$C$3)^(D$43-2021)</f>
        <v>598.31879191667144</v>
      </c>
      <c r="E68" s="309">
        <f t="shared" si="12"/>
        <v>237.6502345362465</v>
      </c>
      <c r="F68" s="309">
        <f t="shared" si="12"/>
        <v>440.20102745211443</v>
      </c>
      <c r="G68" s="309">
        <f t="shared" si="12"/>
        <v>1117.3954802198771</v>
      </c>
      <c r="H68" s="309">
        <f t="shared" si="12"/>
        <v>697.37424012017209</v>
      </c>
      <c r="I68" s="309">
        <f t="shared" si="12"/>
        <v>641.19619872668284</v>
      </c>
      <c r="J68" s="309">
        <f t="shared" si="12"/>
        <v>558.17079101018476</v>
      </c>
      <c r="K68" s="309">
        <f t="shared" si="12"/>
        <v>482.08176169873218</v>
      </c>
      <c r="L68" s="309">
        <f t="shared" si="12"/>
        <v>434.75714541542669</v>
      </c>
      <c r="M68" s="309">
        <f t="shared" si="12"/>
        <v>374.59960604209147</v>
      </c>
      <c r="N68" s="273"/>
      <c r="O68"/>
      <c r="P68"/>
      <c r="Q68"/>
      <c r="R68" s="273"/>
      <c r="S68" s="273"/>
      <c r="T68" s="273"/>
      <c r="U68" s="273"/>
      <c r="V68" s="273"/>
      <c r="W68" s="273"/>
      <c r="X68" s="273"/>
      <c r="Y68" s="314"/>
    </row>
    <row r="69" spans="1:25" s="1" customFormat="1" ht="15.6">
      <c r="A69" s="301"/>
      <c r="B69" s="213"/>
      <c r="C69" s="310" t="s">
        <v>186</v>
      </c>
      <c r="D69" s="129">
        <f>D68*'Model input'!$D$53</f>
        <v>11.607384563183427</v>
      </c>
      <c r="E69" s="129">
        <f>E68*'Model input'!$D$53</f>
        <v>4.6104145500031821</v>
      </c>
      <c r="F69" s="129">
        <f>F68*'Model input'!$D$53</f>
        <v>8.5398999325710196</v>
      </c>
      <c r="G69" s="129">
        <f>G68*'Model input'!$D$53</f>
        <v>21.677472316265614</v>
      </c>
      <c r="H69" s="129">
        <f>H68*'Model input'!$D$53</f>
        <v>13.52906025833134</v>
      </c>
      <c r="I69" s="129">
        <f>I68*'Model input'!$D$53</f>
        <v>12.439206255297647</v>
      </c>
      <c r="J69" s="129">
        <f>J68*'Model input'!$D$53</f>
        <v>10.828513345597585</v>
      </c>
      <c r="K69" s="129">
        <f>K68*'Model input'!$D$53</f>
        <v>9.3523861769554042</v>
      </c>
      <c r="L69" s="129">
        <f>L68*'Model input'!$D$53</f>
        <v>8.4342886210592773</v>
      </c>
      <c r="M69" s="129">
        <f>M68*'Model input'!$D$53</f>
        <v>7.2672323572165745</v>
      </c>
      <c r="N69" s="273"/>
      <c r="O69"/>
      <c r="P69"/>
      <c r="Q69"/>
      <c r="R69" s="273"/>
      <c r="S69" s="273"/>
      <c r="T69" s="273"/>
      <c r="U69" s="273"/>
      <c r="V69" s="273"/>
      <c r="W69" s="273"/>
      <c r="X69" s="273"/>
      <c r="Y69" s="314"/>
    </row>
    <row r="70" spans="1:25" s="1" customFormat="1" ht="15.6">
      <c r="A70" s="301"/>
      <c r="B70" s="214" t="s">
        <v>196</v>
      </c>
      <c r="C70" s="214"/>
      <c r="D70" s="159">
        <f t="shared" ref="D70:M70" si="13">SUM(D49,D58,D62,D67)</f>
        <v>-525.88510145387704</v>
      </c>
      <c r="E70" s="159">
        <f t="shared" si="13"/>
        <v>-551.44446939696536</v>
      </c>
      <c r="F70" s="159">
        <f t="shared" si="13"/>
        <v>921.23067116784375</v>
      </c>
      <c r="G70" s="159">
        <f t="shared" si="13"/>
        <v>11511.512867051719</v>
      </c>
      <c r="H70" s="159">
        <f t="shared" si="13"/>
        <v>10901.447061911114</v>
      </c>
      <c r="I70" s="159">
        <f t="shared" si="13"/>
        <v>11205.839013404189</v>
      </c>
      <c r="J70" s="159">
        <f t="shared" si="13"/>
        <v>10064.919337001387</v>
      </c>
      <c r="K70" s="159">
        <f t="shared" si="13"/>
        <v>8778.5768570657856</v>
      </c>
      <c r="L70" s="159">
        <f t="shared" si="13"/>
        <v>8583.9453721598911</v>
      </c>
      <c r="M70" s="159">
        <f t="shared" si="13"/>
        <v>7316.5868312736138</v>
      </c>
      <c r="N70" s="273"/>
      <c r="O70"/>
      <c r="P70"/>
      <c r="Q70"/>
      <c r="R70" s="273"/>
      <c r="S70" s="273"/>
      <c r="T70" s="273"/>
      <c r="U70" s="273"/>
      <c r="V70" s="273"/>
      <c r="W70" s="273"/>
      <c r="X70" s="273"/>
      <c r="Y70" s="314"/>
    </row>
    <row r="71" spans="1:25" s="1" customFormat="1" ht="15.6">
      <c r="A71" s="301"/>
      <c r="B71" s="214" t="s">
        <v>197</v>
      </c>
      <c r="C71" s="214"/>
      <c r="D71" s="159">
        <f t="shared" ref="D71:M71" si="14">SUM(D50,D59,D63,D68)</f>
        <v>-478.07736495807012</v>
      </c>
      <c r="E71" s="159">
        <f t="shared" si="14"/>
        <v>-455.73923090658292</v>
      </c>
      <c r="F71" s="159">
        <f t="shared" si="14"/>
        <v>692.13423829289513</v>
      </c>
      <c r="G71" s="159">
        <f t="shared" si="14"/>
        <v>7862.5181798044632</v>
      </c>
      <c r="H71" s="159">
        <f t="shared" si="14"/>
        <v>6768.9409329411847</v>
      </c>
      <c r="I71" s="159">
        <f t="shared" si="14"/>
        <v>6325.4039874462032</v>
      </c>
      <c r="J71" s="159">
        <f t="shared" si="14"/>
        <v>5164.8950671194816</v>
      </c>
      <c r="K71" s="159">
        <f t="shared" si="14"/>
        <v>4095.2708915595531</v>
      </c>
      <c r="L71" s="159">
        <f t="shared" si="14"/>
        <v>3640.4307885725216</v>
      </c>
      <c r="M71" s="159">
        <f t="shared" si="14"/>
        <v>2820.8609543260218</v>
      </c>
      <c r="N71" s="273"/>
      <c r="O71"/>
      <c r="P71"/>
      <c r="Q71"/>
      <c r="R71" s="273"/>
      <c r="S71" s="273"/>
      <c r="T71" s="273"/>
      <c r="U71" s="273"/>
      <c r="V71" s="273"/>
      <c r="W71" s="273"/>
      <c r="X71" s="273"/>
      <c r="Y71" s="314"/>
    </row>
    <row r="72" spans="1:25" ht="15.6">
      <c r="A72" s="68"/>
      <c r="B72" s="214" t="s">
        <v>201</v>
      </c>
      <c r="C72" s="214"/>
      <c r="D72" s="159">
        <f t="shared" ref="D72:M72" si="15">SUM(D51,D60,D64,D69)</f>
        <v>-9.2747008801865576</v>
      </c>
      <c r="E72" s="159">
        <f t="shared" si="15"/>
        <v>-8.841341079587707</v>
      </c>
      <c r="F72" s="159">
        <f t="shared" si="15"/>
        <v>13.427404222882167</v>
      </c>
      <c r="G72" s="159">
        <f t="shared" si="15"/>
        <v>152.53285268820659</v>
      </c>
      <c r="H72" s="159">
        <f t="shared" si="15"/>
        <v>131.31745409905901</v>
      </c>
      <c r="I72" s="159">
        <f t="shared" si="15"/>
        <v>122.71283735645633</v>
      </c>
      <c r="J72" s="159">
        <f t="shared" si="15"/>
        <v>100.19896430211794</v>
      </c>
      <c r="K72" s="159">
        <f t="shared" si="15"/>
        <v>79.448255296255326</v>
      </c>
      <c r="L72" s="159">
        <f t="shared" si="15"/>
        <v>70.624357298306919</v>
      </c>
      <c r="M72" s="159">
        <f t="shared" si="15"/>
        <v>54.724702513924825</v>
      </c>
      <c r="Y72" s="67"/>
    </row>
    <row r="73" spans="1:25">
      <c r="A73" s="68"/>
      <c r="Y73" s="67"/>
    </row>
    <row r="74" spans="1:25" ht="21">
      <c r="A74" s="68"/>
      <c r="B74" s="120" t="s">
        <v>202</v>
      </c>
      <c r="O74" s="9" t="s">
        <v>203</v>
      </c>
      <c r="P74" s="9"/>
      <c r="Q74" s="9"/>
      <c r="R74" s="9"/>
      <c r="S74" s="9"/>
      <c r="T74" s="9"/>
      <c r="U74" s="9"/>
      <c r="V74" s="9"/>
      <c r="W74" s="9"/>
      <c r="X74" s="9"/>
      <c r="Y74" s="92"/>
    </row>
    <row r="75" spans="1:25" s="1" customFormat="1" ht="15.6">
      <c r="A75" s="301"/>
      <c r="B75" s="126" t="s">
        <v>102</v>
      </c>
      <c r="C75" s="127"/>
      <c r="D75" s="128">
        <v>2023</v>
      </c>
      <c r="E75" s="128">
        <v>2024</v>
      </c>
      <c r="F75" s="128">
        <v>2025</v>
      </c>
      <c r="G75" s="128">
        <v>2026</v>
      </c>
      <c r="H75" s="128">
        <v>2027</v>
      </c>
      <c r="I75" s="128">
        <v>2028</v>
      </c>
      <c r="J75" s="128">
        <v>2029</v>
      </c>
      <c r="K75" s="128">
        <v>2030</v>
      </c>
      <c r="L75" s="128">
        <v>2031</v>
      </c>
      <c r="M75" s="128">
        <v>2032</v>
      </c>
      <c r="N75" s="273"/>
      <c r="O75" s="8"/>
      <c r="P75" s="4">
        <v>2023</v>
      </c>
      <c r="Q75" s="4">
        <v>2024</v>
      </c>
      <c r="R75" s="4">
        <v>2025</v>
      </c>
      <c r="S75" s="4">
        <v>2026</v>
      </c>
      <c r="T75" s="4">
        <v>2027</v>
      </c>
      <c r="U75" s="4">
        <v>2028</v>
      </c>
      <c r="V75" s="4">
        <v>2029</v>
      </c>
      <c r="W75" s="4">
        <v>2030</v>
      </c>
      <c r="X75" s="4">
        <v>2031</v>
      </c>
      <c r="Y75" s="4">
        <v>2032</v>
      </c>
    </row>
    <row r="76" spans="1:25" s="1" customFormat="1">
      <c r="A76" s="301"/>
      <c r="B76" s="321" t="s">
        <v>59</v>
      </c>
      <c r="C76" s="259" t="s">
        <v>177</v>
      </c>
      <c r="D76" s="303">
        <f>D44</f>
        <v>0.34</v>
      </c>
      <c r="E76" s="303">
        <f>D76</f>
        <v>0.34</v>
      </c>
      <c r="F76" s="303">
        <f>E76</f>
        <v>0.34</v>
      </c>
      <c r="G76" s="303">
        <f>F76-F76*'Model input'!C15</f>
        <v>0.31518000000000002</v>
      </c>
      <c r="H76" s="303">
        <f>G76-G76*'Model input'!C15</f>
        <v>0.29217186000000001</v>
      </c>
      <c r="I76" s="303">
        <f>H76-H76*'Model input'!C15</f>
        <v>0.27084331422000002</v>
      </c>
      <c r="J76" s="303">
        <f>I76-I76*0.073</f>
        <v>0.25107175228194001</v>
      </c>
      <c r="K76" s="303">
        <f>J76-J76*'Model input'!C15</f>
        <v>0.23274351436535839</v>
      </c>
      <c r="L76" s="303">
        <f>K76-K76*'Model input'!C15</f>
        <v>0.21575323781668723</v>
      </c>
      <c r="M76" s="303">
        <f>L76-L76*'Model input'!C15</f>
        <v>0.20000325145606906</v>
      </c>
      <c r="N76" s="273"/>
      <c r="O76" s="3" t="s">
        <v>178</v>
      </c>
      <c r="P76" s="5">
        <f t="shared" ref="P76:Y76" si="16">D87</f>
        <v>43.068799999999996</v>
      </c>
      <c r="Q76" s="5">
        <f t="shared" si="16"/>
        <v>39.04900710511933</v>
      </c>
      <c r="R76" s="5">
        <f t="shared" si="16"/>
        <v>38.686409182000368</v>
      </c>
      <c r="S76" s="5">
        <f t="shared" si="16"/>
        <v>12.857489999999999</v>
      </c>
      <c r="T76" s="5">
        <f t="shared" si="16"/>
        <v>11.048814024209999</v>
      </c>
      <c r="U76" s="5">
        <f t="shared" si="16"/>
        <v>9.4945663066103556</v>
      </c>
      <c r="V76" s="5">
        <f t="shared" si="16"/>
        <v>8.1589561696931696</v>
      </c>
      <c r="W76" s="5">
        <f t="shared" si="16"/>
        <v>7.0112276463462626</v>
      </c>
      <c r="X76" s="5">
        <f t="shared" si="16"/>
        <v>6.024951242107087</v>
      </c>
      <c r="Y76" s="5">
        <f t="shared" si="16"/>
        <v>5.1774153259286422</v>
      </c>
    </row>
    <row r="77" spans="1:25" s="2" customFormat="1">
      <c r="A77" s="140"/>
      <c r="B77" s="321"/>
      <c r="C77" s="259" t="s">
        <v>179</v>
      </c>
      <c r="D77" s="312">
        <f t="shared" ref="D77:M77" si="17">D76*$C$24*$C$23*$C$9</f>
        <v>23.18834</v>
      </c>
      <c r="E77" s="312">
        <f t="shared" si="17"/>
        <v>23.18834</v>
      </c>
      <c r="F77" s="312">
        <f t="shared" si="17"/>
        <v>23.18834</v>
      </c>
      <c r="G77" s="312">
        <f t="shared" si="17"/>
        <v>21.495591180000002</v>
      </c>
      <c r="H77" s="312">
        <f t="shared" si="17"/>
        <v>19.926413023859997</v>
      </c>
      <c r="I77" s="312">
        <f t="shared" si="17"/>
        <v>18.471784873118221</v>
      </c>
      <c r="J77" s="312">
        <f t="shared" si="17"/>
        <v>17.123344577380589</v>
      </c>
      <c r="K77" s="312">
        <f t="shared" si="17"/>
        <v>15.873340423231808</v>
      </c>
      <c r="L77" s="312">
        <f t="shared" si="17"/>
        <v>14.714586572335884</v>
      </c>
      <c r="M77" s="312">
        <f t="shared" si="17"/>
        <v>13.640421752555364</v>
      </c>
      <c r="O77" s="3" t="s">
        <v>180</v>
      </c>
      <c r="P77" s="5">
        <v>0</v>
      </c>
      <c r="Q77" s="5">
        <f>P76</f>
        <v>43.068799999999996</v>
      </c>
      <c r="R77" s="5">
        <f t="shared" ref="R77:R84" si="18">Q76</f>
        <v>39.04900710511933</v>
      </c>
      <c r="S77" s="5">
        <f t="shared" ref="S77:S84" si="19">R76</f>
        <v>38.686409182000368</v>
      </c>
      <c r="T77" s="5">
        <f t="shared" ref="T77:T84" si="20">S76</f>
        <v>12.857489999999999</v>
      </c>
      <c r="U77" s="5">
        <f t="shared" ref="U77:U84" si="21">T76</f>
        <v>11.048814024209999</v>
      </c>
      <c r="V77" s="5">
        <f t="shared" ref="V77:V84" si="22">U76</f>
        <v>9.4945663066103556</v>
      </c>
      <c r="W77" s="5">
        <f t="shared" ref="W77:W84" si="23">V76</f>
        <v>8.1589561696931696</v>
      </c>
      <c r="X77" s="5">
        <f t="shared" ref="X77:X84" si="24">W76</f>
        <v>7.0112276463462626</v>
      </c>
      <c r="Y77" s="5">
        <f t="shared" ref="Y77:Y83" si="25">X76</f>
        <v>6.024951242107087</v>
      </c>
    </row>
    <row r="78" spans="1:25" s="2" customFormat="1">
      <c r="A78" s="140"/>
      <c r="B78" s="321"/>
      <c r="C78" s="259" t="s">
        <v>204</v>
      </c>
      <c r="D78" s="304">
        <f>D77/'Model input'!$C$20</f>
        <v>0.46376679999999998</v>
      </c>
      <c r="E78" s="304">
        <f>E77/'Model input'!$C$20</f>
        <v>0.46376679999999998</v>
      </c>
      <c r="F78" s="304">
        <f>F77/'Model input'!$C$20</f>
        <v>0.46376679999999998</v>
      </c>
      <c r="G78" s="304">
        <f>G77/'Model input'!$C$20</f>
        <v>0.42991182360000002</v>
      </c>
      <c r="H78" s="304">
        <f>H77/'Model input'!$C$20</f>
        <v>0.39852826047719991</v>
      </c>
      <c r="I78" s="304">
        <f>I77/'Model input'!$C$20</f>
        <v>0.36943569746236443</v>
      </c>
      <c r="J78" s="304">
        <f>J77/'Model input'!$C$20</f>
        <v>0.34246689154761178</v>
      </c>
      <c r="K78" s="304">
        <f>K77/'Model input'!$C$20</f>
        <v>0.31746680846463615</v>
      </c>
      <c r="L78" s="304">
        <f>L77/'Model input'!$C$20</f>
        <v>0.29429173144671766</v>
      </c>
      <c r="M78" s="304">
        <f>M77/'Model input'!$C$20</f>
        <v>0.2728084350511073</v>
      </c>
      <c r="O78" s="3" t="s">
        <v>108</v>
      </c>
      <c r="P78" s="5">
        <v>0</v>
      </c>
      <c r="Q78" s="5">
        <f t="shared" ref="Q78:Q84" si="26">P77</f>
        <v>0</v>
      </c>
      <c r="R78" s="5">
        <f t="shared" si="18"/>
        <v>43.068799999999996</v>
      </c>
      <c r="S78" s="5">
        <f t="shared" si="19"/>
        <v>39.04900710511933</v>
      </c>
      <c r="T78" s="5">
        <f t="shared" si="20"/>
        <v>38.686409182000368</v>
      </c>
      <c r="U78" s="5">
        <f t="shared" si="21"/>
        <v>12.857489999999999</v>
      </c>
      <c r="V78" s="5">
        <f t="shared" si="22"/>
        <v>11.048814024209999</v>
      </c>
      <c r="W78" s="5">
        <f t="shared" si="23"/>
        <v>9.4945663066103556</v>
      </c>
      <c r="X78" s="5">
        <f t="shared" si="24"/>
        <v>8.1589561696931696</v>
      </c>
      <c r="Y78" s="5">
        <f t="shared" si="25"/>
        <v>7.0112276463462626</v>
      </c>
    </row>
    <row r="79" spans="1:25" s="2" customFormat="1">
      <c r="A79" s="140"/>
      <c r="B79" s="321"/>
      <c r="C79" s="259" t="s">
        <v>205</v>
      </c>
      <c r="D79" s="307">
        <f>D78*'Model input'!F27</f>
        <v>44.723328750510404</v>
      </c>
      <c r="E79" s="307">
        <f>E78*'Model input'!G27</f>
        <v>40.181021232071252</v>
      </c>
      <c r="F79" s="307">
        <f>F78*'Model input'!H27</f>
        <v>40.181021232071252</v>
      </c>
      <c r="G79" s="307">
        <f>G78*'Model input'!I27</f>
        <v>37.247806682130054</v>
      </c>
      <c r="H79" s="307">
        <f>H78*'Model input'!J27</f>
        <v>34.528716794334549</v>
      </c>
      <c r="I79" s="307">
        <f>I78*'Model input'!K27</f>
        <v>32.008120468348139</v>
      </c>
      <c r="J79" s="307">
        <f>J78*'Model input'!L27</f>
        <v>29.671527674158721</v>
      </c>
      <c r="K79" s="307">
        <f>K78*'Model input'!M27</f>
        <v>27.505506153945138</v>
      </c>
      <c r="L79" s="307">
        <f>L78*'Model input'!N27</f>
        <v>25.497604204707137</v>
      </c>
      <c r="M79" s="307">
        <f>M78*'Model input'!O27</f>
        <v>23.63627909776352</v>
      </c>
      <c r="O79" s="3" t="s">
        <v>109</v>
      </c>
      <c r="P79" s="5">
        <v>0</v>
      </c>
      <c r="Q79" s="5">
        <f t="shared" si="26"/>
        <v>0</v>
      </c>
      <c r="R79" s="5">
        <f t="shared" si="18"/>
        <v>0</v>
      </c>
      <c r="S79" s="5">
        <f t="shared" si="19"/>
        <v>43.068799999999996</v>
      </c>
      <c r="T79" s="5">
        <f t="shared" si="20"/>
        <v>39.04900710511933</v>
      </c>
      <c r="U79" s="5">
        <f t="shared" si="21"/>
        <v>38.686409182000368</v>
      </c>
      <c r="V79" s="5">
        <f t="shared" si="22"/>
        <v>12.857489999999999</v>
      </c>
      <c r="W79" s="5">
        <f t="shared" si="23"/>
        <v>11.048814024209999</v>
      </c>
      <c r="X79" s="5">
        <f t="shared" si="24"/>
        <v>9.4945663066103556</v>
      </c>
      <c r="Y79" s="5">
        <f t="shared" si="25"/>
        <v>8.1589561696931696</v>
      </c>
    </row>
    <row r="80" spans="1:25" s="2" customFormat="1">
      <c r="A80" s="140"/>
      <c r="B80" s="321"/>
      <c r="C80" s="259" t="s">
        <v>206</v>
      </c>
      <c r="D80" s="309">
        <f>D77*'Model input'!E39</f>
        <v>543.76156655253112</v>
      </c>
      <c r="E80" s="309">
        <f>E77*'Model input'!F39</f>
        <v>942.55560017247217</v>
      </c>
      <c r="F80" s="309">
        <f>F77*'Model input'!G39</f>
        <v>1989.8595849722951</v>
      </c>
      <c r="G80" s="309">
        <f>G77*'Model input'!H39</f>
        <v>1060.0890263304188</v>
      </c>
      <c r="H80" s="309">
        <f>H77*'Model input'!I39</f>
        <v>982.7025274082979</v>
      </c>
      <c r="I80" s="309">
        <f>I77*'Model input'!J39</f>
        <v>910.96524290749232</v>
      </c>
      <c r="J80" s="309">
        <f>J77*'Model input'!K39</f>
        <v>844.46478017524532</v>
      </c>
      <c r="K80" s="309">
        <f>K77*'Model input'!L39</f>
        <v>782.81885122245251</v>
      </c>
      <c r="L80" s="309">
        <f>L77*'Model input'!M39</f>
        <v>725.67307508321346</v>
      </c>
      <c r="M80" s="309">
        <f>M77*'Model input'!N39</f>
        <v>672.6989406021388</v>
      </c>
      <c r="O80" s="3" t="s">
        <v>110</v>
      </c>
      <c r="P80" s="5">
        <v>0</v>
      </c>
      <c r="Q80" s="5">
        <f t="shared" si="26"/>
        <v>0</v>
      </c>
      <c r="R80" s="5">
        <f t="shared" si="18"/>
        <v>0</v>
      </c>
      <c r="S80" s="5">
        <f t="shared" si="19"/>
        <v>0</v>
      </c>
      <c r="T80" s="5">
        <f t="shared" si="20"/>
        <v>43.068799999999996</v>
      </c>
      <c r="U80" s="5">
        <f t="shared" si="21"/>
        <v>39.04900710511933</v>
      </c>
      <c r="V80" s="5">
        <f t="shared" si="22"/>
        <v>38.686409182000368</v>
      </c>
      <c r="W80" s="5">
        <f t="shared" si="23"/>
        <v>12.857489999999999</v>
      </c>
      <c r="X80" s="5">
        <f t="shared" si="24"/>
        <v>11.048814024209999</v>
      </c>
      <c r="Y80" s="5">
        <f t="shared" si="25"/>
        <v>9.4945663066103556</v>
      </c>
    </row>
    <row r="81" spans="1:25" s="2" customFormat="1">
      <c r="A81" s="140"/>
      <c r="B81" s="321"/>
      <c r="C81" s="310" t="s">
        <v>207</v>
      </c>
      <c r="D81" s="309">
        <f>D80-D79</f>
        <v>499.03823780202072</v>
      </c>
      <c r="E81" s="309">
        <f t="shared" ref="E81" si="27">E80-E79</f>
        <v>902.37457894040097</v>
      </c>
      <c r="F81" s="309">
        <f t="shared" ref="F81" si="28">F80-F79</f>
        <v>1949.6785637402238</v>
      </c>
      <c r="G81" s="309">
        <f t="shared" ref="G81" si="29">G80-G79</f>
        <v>1022.8412196482888</v>
      </c>
      <c r="H81" s="309">
        <f t="shared" ref="H81" si="30">H80-H79</f>
        <v>948.17381061396338</v>
      </c>
      <c r="I81" s="309">
        <f t="shared" ref="I81" si="31">I80-I79</f>
        <v>878.9571224391442</v>
      </c>
      <c r="J81" s="309">
        <f t="shared" ref="J81" si="32">J80-J79</f>
        <v>814.79325250108661</v>
      </c>
      <c r="K81" s="309">
        <f t="shared" ref="K81" si="33">K80-K79</f>
        <v>755.31334506850737</v>
      </c>
      <c r="L81" s="309">
        <f t="shared" ref="L81:M81" si="34">L80-L79</f>
        <v>700.1754708785063</v>
      </c>
      <c r="M81" s="309">
        <f t="shared" si="34"/>
        <v>649.06266150437523</v>
      </c>
      <c r="O81" s="3" t="s">
        <v>111</v>
      </c>
      <c r="P81" s="5">
        <v>0</v>
      </c>
      <c r="Q81" s="5">
        <f t="shared" si="26"/>
        <v>0</v>
      </c>
      <c r="R81" s="5">
        <f t="shared" si="18"/>
        <v>0</v>
      </c>
      <c r="S81" s="5">
        <f t="shared" si="19"/>
        <v>0</v>
      </c>
      <c r="T81" s="5">
        <f t="shared" si="20"/>
        <v>0</v>
      </c>
      <c r="U81" s="5">
        <f t="shared" si="21"/>
        <v>43.068799999999996</v>
      </c>
      <c r="V81" s="5">
        <f t="shared" si="22"/>
        <v>39.04900710511933</v>
      </c>
      <c r="W81" s="5">
        <f t="shared" si="23"/>
        <v>38.686409182000368</v>
      </c>
      <c r="X81" s="5">
        <f t="shared" si="24"/>
        <v>12.857489999999999</v>
      </c>
      <c r="Y81" s="5">
        <f t="shared" si="25"/>
        <v>11.048814024209999</v>
      </c>
    </row>
    <row r="82" spans="1:25" s="2" customFormat="1">
      <c r="A82" s="140"/>
      <c r="B82" s="321"/>
      <c r="C82" s="310" t="s">
        <v>208</v>
      </c>
      <c r="D82" s="309">
        <f t="shared" ref="D82:M82" si="35">D81/(1+$C$3)^(D$75-2022)</f>
        <v>453.67112527456425</v>
      </c>
      <c r="E82" s="309">
        <f t="shared" si="35"/>
        <v>745.76411482677759</v>
      </c>
      <c r="F82" s="309">
        <f t="shared" si="35"/>
        <v>1464.8223619385599</v>
      </c>
      <c r="G82" s="309">
        <f t="shared" si="35"/>
        <v>698.61431572180072</v>
      </c>
      <c r="H82" s="309">
        <f t="shared" si="35"/>
        <v>588.74133697646278</v>
      </c>
      <c r="I82" s="309">
        <f t="shared" si="35"/>
        <v>496.14838125198276</v>
      </c>
      <c r="J82" s="309">
        <f t="shared" si="35"/>
        <v>418.11777220053443</v>
      </c>
      <c r="K82" s="309">
        <f t="shared" si="35"/>
        <v>352.35924984535956</v>
      </c>
      <c r="L82" s="309">
        <f t="shared" si="35"/>
        <v>296.94274964240753</v>
      </c>
      <c r="M82" s="309">
        <f t="shared" si="35"/>
        <v>250.24175356228335</v>
      </c>
      <c r="O82" s="3" t="s">
        <v>112</v>
      </c>
      <c r="P82" s="5">
        <v>0</v>
      </c>
      <c r="Q82" s="5">
        <f t="shared" si="26"/>
        <v>0</v>
      </c>
      <c r="R82" s="5">
        <f t="shared" si="18"/>
        <v>0</v>
      </c>
      <c r="S82" s="5">
        <f t="shared" si="19"/>
        <v>0</v>
      </c>
      <c r="T82" s="5">
        <f t="shared" si="20"/>
        <v>0</v>
      </c>
      <c r="U82" s="5">
        <f t="shared" si="21"/>
        <v>0</v>
      </c>
      <c r="V82" s="5">
        <f t="shared" si="22"/>
        <v>43.068799999999996</v>
      </c>
      <c r="W82" s="5">
        <f t="shared" si="23"/>
        <v>39.04900710511933</v>
      </c>
      <c r="X82" s="5">
        <f t="shared" si="24"/>
        <v>38.686409182000368</v>
      </c>
      <c r="Y82" s="5">
        <f t="shared" si="25"/>
        <v>12.857489999999999</v>
      </c>
    </row>
    <row r="83" spans="1:25" s="2" customFormat="1">
      <c r="A83" s="140"/>
      <c r="B83" s="321"/>
      <c r="C83" s="310" t="s">
        <v>185</v>
      </c>
      <c r="D83" s="309">
        <f>D82/('Model input'!$E$47/'Model input'!$D$47)</f>
        <v>340.21192157917795</v>
      </c>
      <c r="E83" s="309">
        <f>E82/('Model input'!$E$47/'Model input'!$D$47)</f>
        <v>559.25499423500071</v>
      </c>
      <c r="F83" s="309">
        <f>F82/('Model input'!$E$47/'Model input'!$D$47)</f>
        <v>1098.4830260591598</v>
      </c>
      <c r="G83" s="309">
        <f>G82/('Model input'!$E$47/'Model input'!$D$47)</f>
        <v>523.89694991188378</v>
      </c>
      <c r="H83" s="309">
        <f>H82/('Model input'!$E$47/'Model input'!$D$47)</f>
        <v>441.50224778937826</v>
      </c>
      <c r="I83" s="309">
        <f>I82/('Model input'!$E$47/'Model input'!$D$47)</f>
        <v>372.06598518250331</v>
      </c>
      <c r="J83" s="309">
        <f>J82/('Model input'!$E$47/'Model input'!$D$47)</f>
        <v>313.55015296743682</v>
      </c>
      <c r="K83" s="309">
        <f>K82/('Model input'!$E$47/'Model input'!$D$47)</f>
        <v>264.23726527346724</v>
      </c>
      <c r="L83" s="309">
        <f>L82/('Model input'!$E$47/'Model input'!$D$47)</f>
        <v>222.67994991682193</v>
      </c>
      <c r="M83" s="309">
        <f>M82/('Model input'!$E$47/'Model input'!$D$47)</f>
        <v>187.65846688444896</v>
      </c>
      <c r="O83" s="3" t="s">
        <v>113</v>
      </c>
      <c r="P83" s="5">
        <v>0</v>
      </c>
      <c r="Q83" s="5">
        <f t="shared" si="26"/>
        <v>0</v>
      </c>
      <c r="R83" s="5">
        <f t="shared" si="18"/>
        <v>0</v>
      </c>
      <c r="S83" s="5">
        <f t="shared" si="19"/>
        <v>0</v>
      </c>
      <c r="T83" s="5">
        <f t="shared" si="20"/>
        <v>0</v>
      </c>
      <c r="U83" s="5">
        <f t="shared" si="21"/>
        <v>0</v>
      </c>
      <c r="V83" s="5">
        <f t="shared" si="22"/>
        <v>0</v>
      </c>
      <c r="W83" s="5">
        <f t="shared" si="23"/>
        <v>43.068799999999996</v>
      </c>
      <c r="X83" s="5">
        <f t="shared" si="24"/>
        <v>39.04900710511933</v>
      </c>
      <c r="Y83" s="5">
        <f t="shared" si="25"/>
        <v>38.686409182000368</v>
      </c>
    </row>
    <row r="84" spans="1:25" s="2" customFormat="1">
      <c r="A84" s="140"/>
      <c r="B84" s="321"/>
      <c r="C84" s="310" t="s">
        <v>186</v>
      </c>
      <c r="D84" s="160">
        <f>D83*'Model input'!$D$53</f>
        <v>6.6001112786360521</v>
      </c>
      <c r="E84" s="160">
        <f>E83*'Model input'!$D$53</f>
        <v>10.849546888159015</v>
      </c>
      <c r="F84" s="160">
        <f>F83*'Model input'!$D$53</f>
        <v>21.3105707055477</v>
      </c>
      <c r="G84" s="160">
        <f>G83*'Model input'!$D$53</f>
        <v>10.163600828290546</v>
      </c>
      <c r="H84" s="160">
        <f>H83*'Model input'!$D$53</f>
        <v>8.5651436071139386</v>
      </c>
      <c r="I84" s="160">
        <f>I83*'Model input'!$D$53</f>
        <v>7.218080112540564</v>
      </c>
      <c r="J84" s="160">
        <f>J83*'Model input'!$D$53</f>
        <v>6.0828729675682744</v>
      </c>
      <c r="K84" s="160">
        <f>K83*'Model input'!$D$53</f>
        <v>5.1262029463052645</v>
      </c>
      <c r="L84" s="160">
        <f>L83*'Model input'!$D$53</f>
        <v>4.3199910283863456</v>
      </c>
      <c r="M84" s="160">
        <f>M83*'Model input'!$D$53</f>
        <v>3.6405742575583098</v>
      </c>
      <c r="O84" s="3" t="s">
        <v>114</v>
      </c>
      <c r="P84" s="5">
        <v>0</v>
      </c>
      <c r="Q84" s="5">
        <f t="shared" si="26"/>
        <v>0</v>
      </c>
      <c r="R84" s="5">
        <f t="shared" si="18"/>
        <v>0</v>
      </c>
      <c r="S84" s="5">
        <f t="shared" si="19"/>
        <v>0</v>
      </c>
      <c r="T84" s="5">
        <f t="shared" si="20"/>
        <v>0</v>
      </c>
      <c r="U84" s="5">
        <f t="shared" si="21"/>
        <v>0</v>
      </c>
      <c r="V84" s="5">
        <f t="shared" si="22"/>
        <v>0</v>
      </c>
      <c r="W84" s="5">
        <f t="shared" si="23"/>
        <v>0</v>
      </c>
      <c r="X84" s="5">
        <f t="shared" si="24"/>
        <v>43.068799999999996</v>
      </c>
      <c r="Y84" s="5">
        <f>X83</f>
        <v>39.04900710511933</v>
      </c>
    </row>
    <row r="85" spans="1:25" s="1" customFormat="1">
      <c r="A85" s="301"/>
      <c r="B85" s="322" t="s">
        <v>61</v>
      </c>
      <c r="C85" s="316" t="s">
        <v>209</v>
      </c>
      <c r="D85" s="323">
        <f>D52</f>
        <v>0.313</v>
      </c>
      <c r="E85" s="302">
        <f>4593/$D$36</f>
        <v>0.27892147932228095</v>
      </c>
      <c r="F85" s="303">
        <f>E85</f>
        <v>0.27892147932228095</v>
      </c>
      <c r="G85" s="303">
        <v>0.1</v>
      </c>
      <c r="H85" s="303">
        <f t="shared" ref="H85:M85" si="36">G85-G85*0.073</f>
        <v>9.2700000000000005E-2</v>
      </c>
      <c r="I85" s="303">
        <f t="shared" si="36"/>
        <v>8.5932900000000007E-2</v>
      </c>
      <c r="J85" s="303">
        <f t="shared" si="36"/>
        <v>7.9659798300000001E-2</v>
      </c>
      <c r="K85" s="303">
        <f t="shared" si="36"/>
        <v>7.3844633024100007E-2</v>
      </c>
      <c r="L85" s="303">
        <f t="shared" si="36"/>
        <v>6.8453974813340701E-2</v>
      </c>
      <c r="M85" s="303">
        <f t="shared" si="36"/>
        <v>6.3456834651966831E-2</v>
      </c>
      <c r="N85" s="273"/>
      <c r="O85" s="6" t="s">
        <v>189</v>
      </c>
      <c r="P85" s="7">
        <f>P76*'Model input'!$C$33+P77*'Model input'!$D$33+P78*'Model input'!$E$33+P79*'Model input'!$F$33+P80*'Model input'!$G$33+P81*'Model input'!$H$33+P82*'Model input'!$I$33+P83*'Model input'!$J$33+P84*'Model input'!$K$33</f>
        <v>-47.375680000000003</v>
      </c>
      <c r="Q85" s="7">
        <f>Q76*'Model input'!$C$33+Q77*'Model input'!$D$33+Q78*'Model input'!$E$33+Q79*'Model input'!$F$33+Q80*'Model input'!$G$33+Q81*'Model input'!$H$33+Q82*'Model input'!$I$33+Q83*'Model input'!$J$33+Q84*'Model input'!$K$33</f>
        <v>-60.184442631631271</v>
      </c>
      <c r="R85" s="7">
        <f>R76*'Model input'!$C$33+R77*'Model input'!$D$33+R78*'Model input'!$E$33+R79*'Model input'!$F$33+R80*'Model input'!$G$33+R81*'Model input'!$H$33+R82*'Model input'!$I$33+R83*'Model input'!$J$33+R84*'Model input'!$K$33</f>
        <v>15.0361281232545</v>
      </c>
      <c r="S85" s="7">
        <f>S76*'Model input'!$C$33+S77*'Model input'!$D$33+S78*'Model input'!$E$33+S79*'Model input'!$F$33+S80*'Model input'!$G$33+S81*'Model input'!$H$33+S82*'Model input'!$I$33+S83*'Model input'!$J$33+S84*'Model input'!$K$33</f>
        <v>122.89383193269157</v>
      </c>
      <c r="T85" s="7">
        <f>T76*'Model input'!$C$33+T77*'Model input'!$D$33+T78*'Model input'!$E$33+T79*'Model input'!$F$33+T80*'Model input'!$G$33+T81*'Model input'!$H$33+T82*'Model input'!$I$33+T83*'Model input'!$J$33+T84*'Model input'!$K$33</f>
        <v>204.08493953540531</v>
      </c>
      <c r="U85" s="7">
        <f>U76*'Model input'!$C$33+U77*'Model input'!$D$33+U78*'Model input'!$E$33+U79*'Model input'!$F$33+U80*'Model input'!$G$33+U81*'Model input'!$H$33+U82*'Model input'!$I$33+U83*'Model input'!$J$33+U84*'Model input'!$K$33</f>
        <v>210.63975867734388</v>
      </c>
      <c r="V85" s="7">
        <f>V76*'Model input'!$C$33+V77*'Model input'!$D$33+V78*'Model input'!$E$33+V79*'Model input'!$F$33+V80*'Model input'!$G$33+V81*'Model input'!$H$33+V82*'Model input'!$I$33+V83*'Model input'!$J$33+V84*'Model input'!$K$33</f>
        <v>190.88387417214273</v>
      </c>
      <c r="W85" s="7">
        <f>W76*'Model input'!$C$33+W77*'Model input'!$D$33+W78*'Model input'!$E$33+W79*'Model input'!$F$33+W80*'Model input'!$G$33+W81*'Model input'!$H$33+W82*'Model input'!$I$33+W83*'Model input'!$J$33+W84*'Model input'!$K$33</f>
        <v>170.29520362464899</v>
      </c>
      <c r="X85" s="7">
        <f>X76*'Model input'!$C$33+X77*'Model input'!$D$33+X78*'Model input'!$E$33+X79*'Model input'!$F$33+X80*'Model input'!$G$33+X81*'Model input'!$H$33+X82*'Model input'!$I$33+X83*'Model input'!$J$33+X84*'Model input'!$K$33</f>
        <v>173.46077380058324</v>
      </c>
      <c r="Y85" s="7">
        <f>Y76*'Model input'!$C$33+Y77*'Model input'!$D$33+Y78*'Model input'!$E$33+Y79*'Model input'!$F$33+Y80*'Model input'!$G$33+Y81*'Model input'!$H$33+Y82*'Model input'!$I$33+Y83*'Model input'!$J$33+Y84*'Model input'!$K$33</f>
        <v>137.05868036612162</v>
      </c>
    </row>
    <row r="86" spans="1:25" s="1" customFormat="1">
      <c r="A86" s="301"/>
      <c r="B86" s="322"/>
      <c r="C86" s="259" t="s">
        <v>210</v>
      </c>
      <c r="D86" s="324">
        <v>137.6</v>
      </c>
      <c r="E86" s="325">
        <v>140</v>
      </c>
      <c r="F86" s="325">
        <v>138.69999999999999</v>
      </c>
      <c r="G86" s="325">
        <f>F86-F86*0.073</f>
        <v>128.57489999999999</v>
      </c>
      <c r="H86" s="325">
        <f t="shared" ref="H86:M86" si="37">G86-G86*0.073</f>
        <v>119.18893229999999</v>
      </c>
      <c r="I86" s="325">
        <f t="shared" si="37"/>
        <v>110.48814024209999</v>
      </c>
      <c r="J86" s="325">
        <f t="shared" si="37"/>
        <v>102.42250600442669</v>
      </c>
      <c r="K86" s="325">
        <f t="shared" si="37"/>
        <v>94.945663066103549</v>
      </c>
      <c r="L86" s="325">
        <f t="shared" si="37"/>
        <v>88.014629662277997</v>
      </c>
      <c r="M86" s="325">
        <f t="shared" si="37"/>
        <v>81.58956169693171</v>
      </c>
      <c r="N86" s="273"/>
      <c r="O86" s="273"/>
      <c r="P86"/>
      <c r="Q86"/>
      <c r="R86" s="273"/>
      <c r="S86" s="273"/>
      <c r="T86" s="273"/>
      <c r="U86" s="273"/>
      <c r="V86" s="273"/>
      <c r="W86" s="273"/>
      <c r="X86" s="273"/>
      <c r="Y86" s="314"/>
    </row>
    <row r="87" spans="1:25" s="1" customFormat="1">
      <c r="A87" s="301"/>
      <c r="B87" s="322"/>
      <c r="C87" s="259" t="s">
        <v>190</v>
      </c>
      <c r="D87" s="326">
        <f>PRODUCT(D85:D86)</f>
        <v>43.068799999999996</v>
      </c>
      <c r="E87" s="326">
        <f t="shared" ref="E87:L87" si="38">PRODUCT(E85:E86)</f>
        <v>39.04900710511933</v>
      </c>
      <c r="F87" s="326">
        <f t="shared" si="38"/>
        <v>38.686409182000368</v>
      </c>
      <c r="G87" s="313">
        <f t="shared" si="38"/>
        <v>12.857489999999999</v>
      </c>
      <c r="H87" s="313">
        <f t="shared" si="38"/>
        <v>11.048814024209999</v>
      </c>
      <c r="I87" s="313">
        <f t="shared" si="38"/>
        <v>9.4945663066103556</v>
      </c>
      <c r="J87" s="313">
        <f t="shared" si="38"/>
        <v>8.1589561696931696</v>
      </c>
      <c r="K87" s="313">
        <f t="shared" si="38"/>
        <v>7.0112276463462626</v>
      </c>
      <c r="L87" s="313">
        <f t="shared" si="38"/>
        <v>6.024951242107087</v>
      </c>
      <c r="M87" s="313">
        <f t="shared" ref="M87" si="39">PRODUCT(M85:M86)</f>
        <v>5.1774153259286422</v>
      </c>
      <c r="N87" s="273"/>
      <c r="O87" s="273"/>
      <c r="P87"/>
      <c r="Q87"/>
      <c r="R87" s="273"/>
      <c r="S87" s="273"/>
      <c r="T87" s="273"/>
      <c r="U87" s="273"/>
      <c r="V87" s="273"/>
      <c r="W87" s="273"/>
      <c r="X87" s="273"/>
      <c r="Y87" s="314"/>
    </row>
    <row r="88" spans="1:25" s="1" customFormat="1">
      <c r="A88" s="301"/>
      <c r="B88" s="322"/>
      <c r="C88" s="259" t="s">
        <v>179</v>
      </c>
      <c r="D88" s="306">
        <f>P85</f>
        <v>-47.375680000000003</v>
      </c>
      <c r="E88" s="306">
        <f t="shared" ref="E88:M88" si="40">Q85</f>
        <v>-60.184442631631271</v>
      </c>
      <c r="F88" s="306">
        <f t="shared" si="40"/>
        <v>15.0361281232545</v>
      </c>
      <c r="G88" s="306">
        <f t="shared" si="40"/>
        <v>122.89383193269157</v>
      </c>
      <c r="H88" s="306">
        <f t="shared" si="40"/>
        <v>204.08493953540531</v>
      </c>
      <c r="I88" s="306">
        <f t="shared" si="40"/>
        <v>210.63975867734388</v>
      </c>
      <c r="J88" s="306">
        <f t="shared" si="40"/>
        <v>190.88387417214273</v>
      </c>
      <c r="K88" s="306">
        <f t="shared" si="40"/>
        <v>170.29520362464899</v>
      </c>
      <c r="L88" s="306">
        <f t="shared" si="40"/>
        <v>173.46077380058324</v>
      </c>
      <c r="M88" s="306">
        <f t="shared" si="40"/>
        <v>137.05868036612162</v>
      </c>
      <c r="N88" s="273"/>
      <c r="O88" s="273"/>
      <c r="P88"/>
      <c r="Q88"/>
      <c r="R88" s="273"/>
      <c r="S88" s="273"/>
      <c r="T88" s="273"/>
      <c r="U88" s="273"/>
      <c r="V88" s="273"/>
      <c r="W88" s="273"/>
      <c r="X88" s="273"/>
      <c r="Y88" s="314"/>
    </row>
    <row r="89" spans="1:25" s="1" customFormat="1">
      <c r="A89" s="301"/>
      <c r="B89" s="322"/>
      <c r="C89" s="241" t="s">
        <v>191</v>
      </c>
      <c r="D89" s="327">
        <f>(D88/'Model input'!$C$20)+(D87*'Model input'!$C$21)</f>
        <v>-0.51682560000000011</v>
      </c>
      <c r="E89" s="327">
        <f>(E88/'Model input'!$C$20)+(E87*'Model input'!$C$21)</f>
        <v>-0.81319878158143211</v>
      </c>
      <c r="F89" s="327">
        <f>(F88/'Model input'!$C$20)+(F87*'Model input'!$C$21)</f>
        <v>0.68758665428509369</v>
      </c>
      <c r="G89" s="327">
        <f>(G88/'Model input'!$C$20)+(G87*'Model input'!$C$21)</f>
        <v>2.5864515386538312</v>
      </c>
      <c r="H89" s="327">
        <f>(H88/'Model input'!$C$20)+(H87*'Model input'!$C$21)</f>
        <v>4.1921869309502062</v>
      </c>
      <c r="I89" s="327">
        <f>(I88/'Model input'!$C$20)+(I87*'Model input'!$C$21)</f>
        <v>4.3077408366129806</v>
      </c>
      <c r="J89" s="327">
        <f>(J88/'Model input'!$C$20)+(J87*'Model input'!$C$21)</f>
        <v>3.8992670451397862</v>
      </c>
      <c r="K89" s="327">
        <f>(K88/'Model input'!$C$20)+(K87*'Model input'!$C$21)</f>
        <v>3.4760163489564424</v>
      </c>
      <c r="L89" s="327">
        <f>(L88/'Model input'!$C$20)+(L87*'Model input'!$C$21)</f>
        <v>3.5294649884327356</v>
      </c>
      <c r="M89" s="327">
        <f>(M88/'Model input'!$C$20)+(M87*'Model input'!$C$21)</f>
        <v>2.7929477605817188</v>
      </c>
      <c r="N89" s="273"/>
      <c r="O89" s="273"/>
      <c r="P89"/>
      <c r="Q89"/>
      <c r="R89" s="273"/>
      <c r="S89" s="273"/>
      <c r="T89" s="273"/>
      <c r="U89" s="273"/>
      <c r="V89" s="273"/>
      <c r="W89" s="273"/>
      <c r="X89" s="273"/>
      <c r="Y89" s="314"/>
    </row>
    <row r="90" spans="1:25" s="1" customFormat="1">
      <c r="A90" s="301"/>
      <c r="B90" s="322"/>
      <c r="C90" s="259" t="s">
        <v>211</v>
      </c>
      <c r="D90" s="309">
        <f>D89*'Model input'!F27</f>
        <v>-49.840051542024561</v>
      </c>
      <c r="E90" s="309">
        <f>E89*'Model input'!G27</f>
        <v>-70.456008296881095</v>
      </c>
      <c r="F90" s="309">
        <f>F89*'Model input'!H27</f>
        <v>59.572901627969458</v>
      </c>
      <c r="G90" s="309">
        <f>G89*'Model input'!I27</f>
        <v>224.09164302052875</v>
      </c>
      <c r="H90" s="309">
        <f>H89*'Model input'!J27</f>
        <v>363.21347729359206</v>
      </c>
      <c r="I90" s="309">
        <f>I89*'Model input'!K27</f>
        <v>373.22513387807527</v>
      </c>
      <c r="J90" s="309">
        <f>J89*'Model input'!L27</f>
        <v>337.83473058070888</v>
      </c>
      <c r="K90" s="309">
        <f>K89*'Model input'!M27</f>
        <v>301.16404779394645</v>
      </c>
      <c r="L90" s="309">
        <f>L89*'Model input'!N27</f>
        <v>305.79486853752331</v>
      </c>
      <c r="M90" s="309">
        <f>M89*'Model input'!O27</f>
        <v>241.98259398473522</v>
      </c>
      <c r="N90" s="273"/>
      <c r="O90" s="273"/>
      <c r="P90"/>
      <c r="Q90"/>
      <c r="R90" s="273"/>
      <c r="S90" s="273"/>
      <c r="T90" s="273"/>
      <c r="U90" s="273"/>
      <c r="V90" s="273"/>
      <c r="W90" s="273"/>
      <c r="X90" s="273"/>
      <c r="Y90" s="314"/>
    </row>
    <row r="91" spans="1:25" s="1" customFormat="1">
      <c r="A91" s="301"/>
      <c r="B91" s="322"/>
      <c r="C91" s="310" t="s">
        <v>207</v>
      </c>
      <c r="D91" s="315">
        <f>D88*'Model input'!E39-D90</f>
        <v>-1061.1094158752817</v>
      </c>
      <c r="E91" s="315">
        <f>E88*'Model input'!F39-E90</f>
        <v>-2375.9107193646478</v>
      </c>
      <c r="F91" s="315">
        <f>F88*'Model input'!G39-F90</f>
        <v>1230.7214302185298</v>
      </c>
      <c r="G91" s="315">
        <f>G88*'Model input'!H39-G90</f>
        <v>5836.6117609758767</v>
      </c>
      <c r="H91" s="315">
        <f>H88*'Model input'!I39-H90</f>
        <v>9701.5576206088281</v>
      </c>
      <c r="I91" s="315">
        <f>I88*'Model input'!J39-I90</f>
        <v>10014.807221821939</v>
      </c>
      <c r="J91" s="315">
        <f>J88*'Model input'!K39-J90</f>
        <v>9075.9049809188164</v>
      </c>
      <c r="K91" s="315">
        <f>K88*'Model input'!L39-K90</f>
        <v>8097.2128606374945</v>
      </c>
      <c r="L91" s="315">
        <f>L88*'Model input'!M39-L90</f>
        <v>8248.6971324022379</v>
      </c>
      <c r="M91" s="315">
        <f>M88*'Model input'!N39-M90</f>
        <v>6517.2826805911627</v>
      </c>
      <c r="N91" s="273"/>
      <c r="O91" s="273"/>
      <c r="P91"/>
      <c r="Q91"/>
      <c r="R91" s="273"/>
      <c r="S91" s="273"/>
      <c r="T91" s="273"/>
      <c r="U91" s="273"/>
      <c r="V91" s="273"/>
      <c r="W91" s="273"/>
      <c r="X91" s="273"/>
      <c r="Y91" s="314"/>
    </row>
    <row r="92" spans="1:25" s="1" customFormat="1">
      <c r="A92" s="301"/>
      <c r="B92" s="322"/>
      <c r="C92" s="310" t="s">
        <v>208</v>
      </c>
      <c r="D92" s="315">
        <f t="shared" ref="D92:M92" si="41">D91/(1+$C$3)^(D$75-2022)</f>
        <v>-964.64492352298328</v>
      </c>
      <c r="E92" s="315">
        <f t="shared" si="41"/>
        <v>-1963.5625779873119</v>
      </c>
      <c r="F92" s="315">
        <f t="shared" si="41"/>
        <v>924.65922630993941</v>
      </c>
      <c r="G92" s="315">
        <f t="shared" si="41"/>
        <v>3986.4843664885425</v>
      </c>
      <c r="H92" s="315">
        <f t="shared" si="41"/>
        <v>6023.9039935230612</v>
      </c>
      <c r="I92" s="315">
        <f t="shared" si="41"/>
        <v>5653.0975912327795</v>
      </c>
      <c r="J92" s="315">
        <f t="shared" si="41"/>
        <v>4657.3743212489953</v>
      </c>
      <c r="K92" s="315">
        <f t="shared" si="41"/>
        <v>3777.4095586165568</v>
      </c>
      <c r="L92" s="315">
        <f t="shared" si="41"/>
        <v>3498.2528085277327</v>
      </c>
      <c r="M92" s="315">
        <f t="shared" si="41"/>
        <v>2512.6946028172315</v>
      </c>
      <c r="N92" s="273"/>
      <c r="O92" s="273"/>
      <c r="P92"/>
      <c r="Q92"/>
      <c r="R92" s="273"/>
      <c r="S92" s="273"/>
      <c r="T92" s="273"/>
      <c r="U92" s="273"/>
      <c r="V92" s="273"/>
      <c r="W92" s="273"/>
      <c r="X92" s="273"/>
      <c r="Y92" s="314"/>
    </row>
    <row r="93" spans="1:25" s="1" customFormat="1">
      <c r="A93" s="301"/>
      <c r="B93" s="322"/>
      <c r="C93" s="310" t="s">
        <v>185</v>
      </c>
      <c r="D93" s="315">
        <f>D92/('Model input'!$E$47/'Model input'!$D$47)</f>
        <v>-723.39561587644505</v>
      </c>
      <c r="E93" s="315">
        <f>E92/('Model input'!$E$47/'Model input'!$D$47)</f>
        <v>-1472.4926506921374</v>
      </c>
      <c r="F93" s="315">
        <f>F92/('Model input'!$E$47/'Model input'!$D$47)</f>
        <v>693.40999385498662</v>
      </c>
      <c r="G93" s="315">
        <f>G92/('Model input'!$E$47/'Model input'!$D$47)</f>
        <v>2989.4992894855482</v>
      </c>
      <c r="H93" s="315">
        <f>H92/('Model input'!$E$47/'Model input'!$D$47)</f>
        <v>4517.3779834558654</v>
      </c>
      <c r="I93" s="315">
        <f>I92/('Model input'!$E$47/'Model input'!$D$47)</f>
        <v>4239.3070381633033</v>
      </c>
      <c r="J93" s="315">
        <f>J92/('Model input'!$E$47/'Model input'!$D$47)</f>
        <v>3492.6055000452047</v>
      </c>
      <c r="K93" s="315">
        <f>K92/('Model input'!$E$47/'Model input'!$D$47)</f>
        <v>2832.7122731267759</v>
      </c>
      <c r="L93" s="315">
        <f>L92/('Model input'!$E$47/'Model input'!$D$47)</f>
        <v>2623.3701989270139</v>
      </c>
      <c r="M93" s="315">
        <f>M92/('Model input'!$E$47/'Model input'!$D$47)</f>
        <v>1884.2915308941483</v>
      </c>
      <c r="N93" s="273"/>
      <c r="O93" s="273"/>
      <c r="P93"/>
      <c r="Q93"/>
      <c r="R93" s="273"/>
      <c r="S93" s="273"/>
      <c r="T93" s="273"/>
      <c r="U93" s="273"/>
      <c r="V93" s="273"/>
      <c r="W93" s="273"/>
      <c r="X93" s="273"/>
      <c r="Y93" s="314"/>
    </row>
    <row r="94" spans="1:25" s="1" customFormat="1">
      <c r="A94" s="301"/>
      <c r="B94" s="322"/>
      <c r="C94" s="310" t="s">
        <v>186</v>
      </c>
      <c r="D94" s="160">
        <f>D93*'Model input'!$D$53</f>
        <v>-14.033874948003035</v>
      </c>
      <c r="E94" s="160">
        <f>E93*'Model input'!$D$53</f>
        <v>-28.566357423427466</v>
      </c>
      <c r="F94" s="160">
        <f>F93*'Model input'!$D$53</f>
        <v>13.45215388078674</v>
      </c>
      <c r="G94" s="160">
        <f>G93*'Model input'!$D$53</f>
        <v>57.996286216019634</v>
      </c>
      <c r="H94" s="160">
        <f>H93*'Model input'!$D$53</f>
        <v>87.63713287904379</v>
      </c>
      <c r="I94" s="160">
        <f>I93*'Model input'!$D$53</f>
        <v>82.242556540368085</v>
      </c>
      <c r="J94" s="160">
        <f>J93*'Model input'!$D$53</f>
        <v>67.756546700876967</v>
      </c>
      <c r="K94" s="160">
        <f>K93*'Model input'!$D$53</f>
        <v>54.954618098659452</v>
      </c>
      <c r="L94" s="160">
        <f>L93*'Model input'!$D$53</f>
        <v>50.893381859184075</v>
      </c>
      <c r="M94" s="160">
        <f>M93*'Model input'!$D$53</f>
        <v>36.555255699346475</v>
      </c>
      <c r="N94" s="273"/>
      <c r="O94" s="273"/>
      <c r="P94"/>
      <c r="Q94"/>
      <c r="R94" s="273"/>
      <c r="S94" s="273"/>
      <c r="T94" s="273"/>
      <c r="U94" s="273"/>
      <c r="V94" s="273"/>
      <c r="W94" s="273"/>
      <c r="X94" s="273"/>
      <c r="Y94" s="314"/>
    </row>
    <row r="95" spans="1:25" s="1" customFormat="1">
      <c r="A95" s="301"/>
      <c r="B95" s="322" t="s">
        <v>63</v>
      </c>
      <c r="C95" s="328" t="s">
        <v>212</v>
      </c>
      <c r="D95" s="311" t="s">
        <v>195</v>
      </c>
      <c r="E95" s="329">
        <f>E61*('Model input'!G47/'Model input'!F47)</f>
        <v>356.59945243627186</v>
      </c>
      <c r="F95" s="307"/>
      <c r="G95" s="307"/>
      <c r="H95" s="307"/>
      <c r="I95" s="307"/>
      <c r="J95" s="307"/>
      <c r="K95" s="307"/>
      <c r="L95" s="307"/>
      <c r="M95" s="307"/>
      <c r="N95" s="273"/>
      <c r="O95" s="273"/>
      <c r="P95"/>
      <c r="Q95"/>
      <c r="R95" s="273"/>
      <c r="S95" s="273"/>
      <c r="T95" s="273"/>
      <c r="U95" s="273"/>
      <c r="V95" s="273"/>
      <c r="W95" s="273"/>
      <c r="X95" s="273"/>
      <c r="Y95" s="314"/>
    </row>
    <row r="96" spans="1:25" s="1" customFormat="1">
      <c r="A96" s="301"/>
      <c r="B96" s="322"/>
      <c r="C96" s="310" t="s">
        <v>213</v>
      </c>
      <c r="D96" s="330" t="s">
        <v>195</v>
      </c>
      <c r="E96" s="309">
        <f>E95/('Model input'!G$47/'Model input'!$D$47)</f>
        <v>162.23762387178942</v>
      </c>
      <c r="F96" s="309">
        <f>E96</f>
        <v>162.23762387178942</v>
      </c>
      <c r="G96" s="309">
        <f t="shared" ref="G96:M96" si="42">F96</f>
        <v>162.23762387178942</v>
      </c>
      <c r="H96" s="309">
        <f t="shared" si="42"/>
        <v>162.23762387178942</v>
      </c>
      <c r="I96" s="309">
        <f t="shared" si="42"/>
        <v>162.23762387178942</v>
      </c>
      <c r="J96" s="309">
        <f t="shared" si="42"/>
        <v>162.23762387178942</v>
      </c>
      <c r="K96" s="309">
        <f t="shared" si="42"/>
        <v>162.23762387178942</v>
      </c>
      <c r="L96" s="309">
        <f t="shared" si="42"/>
        <v>162.23762387178942</v>
      </c>
      <c r="M96" s="309">
        <f t="shared" si="42"/>
        <v>162.23762387178942</v>
      </c>
      <c r="N96" s="273"/>
      <c r="O96" s="273"/>
      <c r="P96"/>
      <c r="Q96"/>
      <c r="R96" s="273"/>
      <c r="S96" s="273"/>
      <c r="T96" s="273"/>
      <c r="U96" s="273"/>
      <c r="V96" s="273"/>
      <c r="W96" s="273"/>
      <c r="X96" s="273"/>
      <c r="Y96" s="314"/>
    </row>
    <row r="97" spans="1:25" s="1" customFormat="1">
      <c r="A97" s="301"/>
      <c r="B97" s="322"/>
      <c r="C97" s="310" t="s">
        <v>214</v>
      </c>
      <c r="D97" s="330" t="s">
        <v>195</v>
      </c>
      <c r="E97" s="309">
        <f t="shared" ref="E97:M97" si="43">E96/(1+$C$3)^(E$75-2022)</f>
        <v>134.08068088577636</v>
      </c>
      <c r="F97" s="309">
        <f t="shared" si="43"/>
        <v>121.89152807797849</v>
      </c>
      <c r="G97" s="309">
        <f t="shared" si="43"/>
        <v>110.81048007088954</v>
      </c>
      <c r="H97" s="309">
        <f t="shared" si="43"/>
        <v>100.73680006444503</v>
      </c>
      <c r="I97" s="309">
        <f t="shared" si="43"/>
        <v>91.578909149495473</v>
      </c>
      <c r="J97" s="309">
        <f t="shared" si="43"/>
        <v>83.253553772268603</v>
      </c>
      <c r="K97" s="309">
        <f t="shared" si="43"/>
        <v>75.685048883880555</v>
      </c>
      <c r="L97" s="309">
        <f t="shared" si="43"/>
        <v>68.804589894436859</v>
      </c>
      <c r="M97" s="309">
        <f t="shared" si="43"/>
        <v>62.549627176760772</v>
      </c>
      <c r="N97" s="273"/>
      <c r="O97" s="273"/>
      <c r="P97"/>
      <c r="Q97"/>
      <c r="R97" s="273"/>
      <c r="S97" s="273"/>
      <c r="T97" s="273"/>
      <c r="U97" s="273"/>
      <c r="V97" s="273"/>
      <c r="W97" s="273"/>
      <c r="X97" s="273"/>
      <c r="Y97" s="314"/>
    </row>
    <row r="98" spans="1:25" s="1" customFormat="1">
      <c r="A98" s="301"/>
      <c r="B98" s="322"/>
      <c r="C98" s="310" t="s">
        <v>215</v>
      </c>
      <c r="D98" s="330" t="s">
        <v>195</v>
      </c>
      <c r="E98" s="309">
        <f>E97/('Model input'!$E$47/'Model input'!$D$47)</f>
        <v>100.54826844707732</v>
      </c>
      <c r="F98" s="309">
        <f>F97/('Model input'!$E$47/'Model input'!$D$47)</f>
        <v>91.407516770070274</v>
      </c>
      <c r="G98" s="309">
        <f>G97/('Model input'!$E$47/'Model input'!$D$47)</f>
        <v>83.09774251824571</v>
      </c>
      <c r="H98" s="309">
        <f>H97/('Model input'!$E$47/'Model input'!$D$47)</f>
        <v>75.543402289314272</v>
      </c>
      <c r="I98" s="309">
        <f>I97/('Model input'!$E$47/'Model input'!$D$47)</f>
        <v>68.675820263012966</v>
      </c>
      <c r="J98" s="309">
        <f>J97/('Model input'!$E$47/'Model input'!$D$47)</f>
        <v>62.432563875466329</v>
      </c>
      <c r="K98" s="309">
        <f>K97/('Model input'!$E$47/'Model input'!$D$47)</f>
        <v>56.756876250423943</v>
      </c>
      <c r="L98" s="309">
        <f>L97/('Model input'!$E$47/'Model input'!$D$47)</f>
        <v>51.597160227658122</v>
      </c>
      <c r="M98" s="309">
        <f>M97/('Model input'!$E$47/'Model input'!$D$47)</f>
        <v>46.906509297871011</v>
      </c>
      <c r="N98" s="273"/>
      <c r="O98" s="273"/>
      <c r="P98"/>
      <c r="Q98"/>
      <c r="R98" s="273"/>
      <c r="S98" s="273"/>
      <c r="T98" s="273"/>
      <c r="U98" s="273"/>
      <c r="V98" s="273"/>
      <c r="W98" s="273"/>
      <c r="X98" s="273"/>
      <c r="Y98" s="314"/>
    </row>
    <row r="99" spans="1:25" s="1" customFormat="1">
      <c r="A99" s="301"/>
      <c r="B99" s="322"/>
      <c r="C99" s="310" t="s">
        <v>186</v>
      </c>
      <c r="D99" s="161" t="s">
        <v>195</v>
      </c>
      <c r="E99" s="160">
        <f>E98*'Model input'!$D$53</f>
        <v>1.9506364078733001</v>
      </c>
      <c r="F99" s="160">
        <f>F98*'Model input'!$D$53</f>
        <v>1.7733058253393634</v>
      </c>
      <c r="G99" s="160">
        <f>G98*'Model input'!$D$53</f>
        <v>1.6120962048539669</v>
      </c>
      <c r="H99" s="160">
        <f>H98*'Model input'!$D$53</f>
        <v>1.465542004412697</v>
      </c>
      <c r="I99" s="160">
        <f>I98*'Model input'!$D$53</f>
        <v>1.3323109131024515</v>
      </c>
      <c r="J99" s="160">
        <f>J98*'Model input'!$D$53</f>
        <v>1.2111917391840468</v>
      </c>
      <c r="K99" s="160">
        <f>K98*'Model input'!$D$53</f>
        <v>1.1010833992582245</v>
      </c>
      <c r="L99" s="160">
        <f>L98*'Model input'!$D$53</f>
        <v>1.0009849084165676</v>
      </c>
      <c r="M99" s="160">
        <f>M98*'Model input'!$D$53</f>
        <v>0.90998628037869767</v>
      </c>
      <c r="N99" s="273"/>
      <c r="O99" s="273"/>
      <c r="P99"/>
      <c r="Q99"/>
      <c r="R99" s="273"/>
      <c r="S99" s="273"/>
      <c r="T99" s="273"/>
      <c r="U99" s="273"/>
      <c r="V99" s="273"/>
      <c r="W99" s="273"/>
      <c r="X99" s="273"/>
      <c r="Y99" s="314"/>
    </row>
    <row r="100" spans="1:25" s="1" customFormat="1">
      <c r="A100" s="301"/>
      <c r="B100" s="322" t="s">
        <v>198</v>
      </c>
      <c r="C100" s="259" t="s">
        <v>199</v>
      </c>
      <c r="D100" s="319">
        <v>0.15</v>
      </c>
      <c r="E100" s="319">
        <v>0.15</v>
      </c>
      <c r="F100" s="319">
        <v>0.15</v>
      </c>
      <c r="G100" s="319">
        <v>0.15</v>
      </c>
      <c r="H100" s="319">
        <v>0.15</v>
      </c>
      <c r="I100" s="319">
        <v>0.15</v>
      </c>
      <c r="J100" s="319">
        <v>0.15</v>
      </c>
      <c r="K100" s="319">
        <v>0.15</v>
      </c>
      <c r="L100" s="319">
        <v>0.15</v>
      </c>
      <c r="M100" s="319">
        <v>0.15</v>
      </c>
      <c r="N100" s="273"/>
      <c r="O100" s="273"/>
      <c r="P100"/>
      <c r="Q100"/>
      <c r="R100" s="273"/>
      <c r="S100" s="273"/>
      <c r="T100" s="273"/>
      <c r="U100" s="273"/>
      <c r="V100" s="273"/>
      <c r="W100" s="273"/>
      <c r="X100" s="273"/>
      <c r="Y100" s="314"/>
    </row>
    <row r="101" spans="1:25" s="1" customFormat="1">
      <c r="A101" s="301"/>
      <c r="B101" s="322"/>
      <c r="C101" s="331" t="s">
        <v>200</v>
      </c>
      <c r="D101" s="319">
        <v>0.14000000000000001</v>
      </c>
      <c r="E101" s="319">
        <v>0.14000000000000001</v>
      </c>
      <c r="F101" s="319">
        <v>0.14000000000000001</v>
      </c>
      <c r="G101" s="319">
        <v>0.14000000000000001</v>
      </c>
      <c r="H101" s="319">
        <v>0.14000000000000001</v>
      </c>
      <c r="I101" s="319">
        <v>0.14000000000000001</v>
      </c>
      <c r="J101" s="319">
        <v>0.14000000000000001</v>
      </c>
      <c r="K101" s="319">
        <v>0.14000000000000001</v>
      </c>
      <c r="L101" s="319">
        <v>0.14000000000000001</v>
      </c>
      <c r="M101" s="319">
        <v>0.14000000000000001</v>
      </c>
      <c r="N101" s="273"/>
      <c r="O101" s="273"/>
      <c r="P101"/>
      <c r="Q101"/>
      <c r="R101" s="273"/>
      <c r="S101" s="273"/>
      <c r="T101" s="273"/>
      <c r="U101" s="273"/>
      <c r="V101" s="273"/>
      <c r="W101" s="273"/>
      <c r="X101" s="273"/>
      <c r="Y101" s="314"/>
    </row>
    <row r="102" spans="1:25" s="1" customFormat="1">
      <c r="A102" s="301"/>
      <c r="B102" s="322"/>
      <c r="C102" s="310" t="s">
        <v>213</v>
      </c>
      <c r="D102" s="309">
        <f>(D100*D101*$C$18*$C$17*'Model input'!E39)+(D100*D101*D88*'Model input'!E39)+(D100*D101*D77*'Model input'!E39)</f>
        <v>209.68951379225535</v>
      </c>
      <c r="E102" s="309">
        <f>(E100*E101*$C$18*$C$17*'Model input'!F39)+(E100*E101*E88*'Model input'!F39)+(E100*E101*E77*'Model input'!F39)</f>
        <v>352.54191820155614</v>
      </c>
      <c r="F102" s="309">
        <f>(F100*F101*$C$18*$C$17*'Model input'!G39)+(F100*F101*F88*'Model input'!G39)+(F100*F101*F77*'Model input'!G39)</f>
        <v>879.81549726173739</v>
      </c>
      <c r="G102" s="309">
        <f>(G100*G101*$C$18*$C$17*'Model input'!H39)+(G100*G101*G88*'Model input'!H39)+(G100*G101*G77*'Model input'!H39)</f>
        <v>615.57831511481527</v>
      </c>
      <c r="H102" s="309">
        <f>(H100*H101*$C$18*$C$17*'Model input'!I39)+(H100*H101*H88*'Model input'!I39)+(H100*H101*H77*'Model input'!I39)</f>
        <v>698.03862020947702</v>
      </c>
      <c r="I102" s="309">
        <f>(I100*I101*$C$18*$C$17*'Model input'!J39)+(I100*I101*I88*'Model input'!J39)+(I100*I101*I77*'Model input'!J39)</f>
        <v>703.32062364870956</v>
      </c>
      <c r="J102" s="309">
        <f>(J100*J101*$C$18*$C$17*'Model input'!K39)+(J100*J101*J88*'Model input'!K39)+(J100*J101*J77*'Model input'!K39)</f>
        <v>681.46396840312207</v>
      </c>
      <c r="K102" s="309">
        <f>(K100*K101*$C$18*$C$17*'Model input'!L39)+(K100*K101*K88*'Model input'!L39)+(K100*K101*K77*'Model input'!L39)</f>
        <v>658.84678503068369</v>
      </c>
      <c r="L102" s="309">
        <f>(L100*L101*$C$18*$C$17*'Model input'!M39)+(L100*L101*L88*'Model input'!M39)+(L100*L101*L77*'Model input'!M39)</f>
        <v>660.92514067443437</v>
      </c>
      <c r="M102" s="309">
        <f>(M100*M101*$C$18*$C$17*'Model input'!N39)+(M100*M101*M88*'Model input'!N39)+(M100*M101*M77*'Model input'!N39)</f>
        <v>622.11292259669074</v>
      </c>
      <c r="N102" s="273"/>
      <c r="O102" s="273"/>
      <c r="P102"/>
      <c r="Q102"/>
      <c r="R102" s="273"/>
      <c r="S102" s="273"/>
      <c r="T102" s="273"/>
      <c r="U102" s="273"/>
      <c r="V102" s="273"/>
      <c r="W102" s="273"/>
      <c r="X102" s="273"/>
      <c r="Y102" s="314"/>
    </row>
    <row r="103" spans="1:25" s="1" customFormat="1">
      <c r="A103" s="301"/>
      <c r="B103" s="322"/>
      <c r="C103" s="310" t="s">
        <v>214</v>
      </c>
      <c r="D103" s="309">
        <f t="shared" ref="D103:M103" si="44">D102/(1+$C$3)^(D$75-2022)</f>
        <v>190.62683072023214</v>
      </c>
      <c r="E103" s="309">
        <f t="shared" si="44"/>
        <v>291.35695719136868</v>
      </c>
      <c r="F103" s="309">
        <f t="shared" si="44"/>
        <v>661.01840515532467</v>
      </c>
      <c r="G103" s="309">
        <f t="shared" si="44"/>
        <v>420.44827205437821</v>
      </c>
      <c r="H103" s="309">
        <f t="shared" si="44"/>
        <v>433.42706360685543</v>
      </c>
      <c r="I103" s="309">
        <f t="shared" si="44"/>
        <v>397.00615651886062</v>
      </c>
      <c r="J103" s="309">
        <f t="shared" si="44"/>
        <v>349.69876766777571</v>
      </c>
      <c r="K103" s="309">
        <f t="shared" si="44"/>
        <v>307.35688764426948</v>
      </c>
      <c r="L103" s="309">
        <f t="shared" si="44"/>
        <v>280.296778082527</v>
      </c>
      <c r="M103" s="309">
        <f t="shared" si="44"/>
        <v>239.85146257454764</v>
      </c>
      <c r="N103" s="273"/>
      <c r="O103" s="273"/>
      <c r="P103"/>
      <c r="Q103"/>
      <c r="R103" s="273"/>
      <c r="S103" s="273"/>
      <c r="T103" s="273"/>
      <c r="U103" s="273"/>
      <c r="V103" s="273"/>
      <c r="W103" s="273"/>
      <c r="X103" s="273"/>
      <c r="Y103" s="314"/>
    </row>
    <row r="104" spans="1:25" s="1" customFormat="1">
      <c r="A104" s="301"/>
      <c r="B104" s="322"/>
      <c r="C104" s="310" t="s">
        <v>185</v>
      </c>
      <c r="D104" s="309">
        <f>D103/('Model input'!$E$47/'Model input'!$D$47)</f>
        <v>142.95271788485357</v>
      </c>
      <c r="E104" s="309">
        <f>E103/('Model input'!$E$47/'Model input'!$D$47)</f>
        <v>218.49111558851794</v>
      </c>
      <c r="F104" s="309">
        <f>F103/('Model input'!$E$47/'Model input'!$D$47)</f>
        <v>495.70344967622555</v>
      </c>
      <c r="G104" s="309">
        <f>G103/('Model input'!$E$47/'Model input'!$D$47)</f>
        <v>315.29781507186618</v>
      </c>
      <c r="H104" s="309">
        <f>H103/('Model input'!$E$47/'Model input'!$D$47)</f>
        <v>325.03072370953089</v>
      </c>
      <c r="I104" s="309">
        <f>I103/('Model input'!$E$47/'Model input'!$D$47)</f>
        <v>297.71836879921028</v>
      </c>
      <c r="J104" s="309">
        <f>J103/('Model input'!$E$47/'Model input'!$D$47)</f>
        <v>262.24214655522138</v>
      </c>
      <c r="K104" s="309">
        <f>K103/('Model input'!$E$47/'Model input'!$D$47)</f>
        <v>230.48960255684821</v>
      </c>
      <c r="L104" s="309">
        <f>L103/('Model input'!$E$47/'Model input'!$D$47)</f>
        <v>210.19699110494707</v>
      </c>
      <c r="M104" s="309">
        <f>M103/('Model input'!$E$47/'Model input'!$D$47)</f>
        <v>179.86669732766919</v>
      </c>
      <c r="N104" s="273"/>
      <c r="O104" s="273"/>
      <c r="P104"/>
      <c r="Q104"/>
      <c r="R104" s="273"/>
      <c r="S104" s="273"/>
      <c r="T104" s="273"/>
      <c r="U104" s="273"/>
      <c r="V104" s="273"/>
      <c r="W104" s="273"/>
      <c r="X104" s="273"/>
      <c r="Y104" s="314"/>
    </row>
    <row r="105" spans="1:25" s="1" customFormat="1">
      <c r="A105" s="301"/>
      <c r="B105" s="322"/>
      <c r="C105" s="310" t="s">
        <v>186</v>
      </c>
      <c r="D105" s="160">
        <f>D104*'Model input'!$D$53</f>
        <v>2.7732827269661593</v>
      </c>
      <c r="E105" s="160">
        <f>E104*'Model input'!$D$53</f>
        <v>4.2387276424172482</v>
      </c>
      <c r="F105" s="160">
        <f>F104*'Model input'!$D$53</f>
        <v>9.6166469237187755</v>
      </c>
      <c r="G105" s="160">
        <f>G104*'Model input'!$D$53</f>
        <v>6.1167776123942037</v>
      </c>
      <c r="H105" s="160">
        <f>H104*'Model input'!$D$53</f>
        <v>6.3055960399648994</v>
      </c>
      <c r="I105" s="160">
        <f>I104*'Model input'!$D$53</f>
        <v>5.7757363547046801</v>
      </c>
      <c r="J105" s="160">
        <f>J104*'Model input'!$D$53</f>
        <v>5.0874976431712948</v>
      </c>
      <c r="K105" s="160">
        <f>K104*'Model input'!$D$53</f>
        <v>4.471498289602855</v>
      </c>
      <c r="L105" s="160">
        <f>L104*'Model input'!$D$53</f>
        <v>4.0778216274359735</v>
      </c>
      <c r="M105" s="160">
        <f>M104*'Model input'!$D$53</f>
        <v>3.4894139281567824</v>
      </c>
      <c r="N105" s="273"/>
      <c r="O105" s="273"/>
      <c r="P105"/>
      <c r="Q105"/>
      <c r="R105" s="273"/>
      <c r="S105" s="273"/>
      <c r="T105" s="273"/>
      <c r="U105" s="273"/>
      <c r="V105" s="273"/>
      <c r="W105" s="273"/>
      <c r="X105" s="273"/>
      <c r="Y105" s="314"/>
    </row>
    <row r="106" spans="1:25" s="1" customFormat="1" ht="15.6">
      <c r="A106" s="301"/>
      <c r="B106" s="216" t="s">
        <v>213</v>
      </c>
      <c r="C106" s="217"/>
      <c r="D106" s="159">
        <f t="shared" ref="D106:M106" si="45">SUM(D81,D91,D96,D102)</f>
        <v>-352.38166428100561</v>
      </c>
      <c r="E106" s="159">
        <f t="shared" si="45"/>
        <v>-958.75659835090119</v>
      </c>
      <c r="F106" s="159">
        <f t="shared" si="45"/>
        <v>4222.4531150922803</v>
      </c>
      <c r="G106" s="159">
        <f t="shared" si="45"/>
        <v>7637.2689196107704</v>
      </c>
      <c r="H106" s="159">
        <f t="shared" si="45"/>
        <v>11510.007675304059</v>
      </c>
      <c r="I106" s="159">
        <f t="shared" si="45"/>
        <v>11759.322591781582</v>
      </c>
      <c r="J106" s="159">
        <f t="shared" si="45"/>
        <v>10734.399825694816</v>
      </c>
      <c r="K106" s="159">
        <f t="shared" si="45"/>
        <v>9673.6106146084767</v>
      </c>
      <c r="L106" s="159">
        <f t="shared" si="45"/>
        <v>9772.0353678269694</v>
      </c>
      <c r="M106" s="159">
        <f t="shared" si="45"/>
        <v>7950.6958885640179</v>
      </c>
      <c r="N106" s="273"/>
      <c r="O106" s="273"/>
      <c r="P106"/>
      <c r="Q106"/>
      <c r="R106" s="273"/>
      <c r="S106" s="273"/>
      <c r="T106" s="273"/>
      <c r="U106" s="273"/>
      <c r="V106" s="273"/>
      <c r="W106" s="273"/>
      <c r="X106" s="273"/>
      <c r="Y106" s="314"/>
    </row>
    <row r="107" spans="1:25" s="1" customFormat="1" ht="15.6">
      <c r="A107" s="301"/>
      <c r="B107" s="214" t="s">
        <v>197</v>
      </c>
      <c r="C107" s="214"/>
      <c r="D107" s="159">
        <f t="shared" ref="D107:M107" si="46">SUM(D83,D93,D98,D104)</f>
        <v>-240.23097641241353</v>
      </c>
      <c r="E107" s="159">
        <f t="shared" si="46"/>
        <v>-594.19827242154145</v>
      </c>
      <c r="F107" s="159">
        <f t="shared" si="46"/>
        <v>2379.0039863604425</v>
      </c>
      <c r="G107" s="159">
        <f t="shared" si="46"/>
        <v>3911.7917969875443</v>
      </c>
      <c r="H107" s="159">
        <f t="shared" si="46"/>
        <v>5359.4543572440889</v>
      </c>
      <c r="I107" s="159">
        <f t="shared" si="46"/>
        <v>4977.7672124080291</v>
      </c>
      <c r="J107" s="159">
        <f t="shared" si="46"/>
        <v>4130.8303634433296</v>
      </c>
      <c r="K107" s="159">
        <f t="shared" si="46"/>
        <v>3384.1960172075151</v>
      </c>
      <c r="L107" s="159">
        <f t="shared" si="46"/>
        <v>3107.8443001764408</v>
      </c>
      <c r="M107" s="159">
        <f t="shared" si="46"/>
        <v>2298.7232044041371</v>
      </c>
      <c r="N107" s="273"/>
      <c r="O107" s="273"/>
      <c r="P107"/>
      <c r="Q107"/>
      <c r="R107" s="273"/>
      <c r="S107" s="273"/>
      <c r="T107" s="273"/>
      <c r="U107" s="273"/>
      <c r="V107" s="273"/>
      <c r="W107" s="273"/>
      <c r="X107" s="273"/>
      <c r="Y107" s="314"/>
    </row>
    <row r="108" spans="1:25" ht="15.6">
      <c r="A108" s="68"/>
      <c r="B108" s="214" t="s">
        <v>201</v>
      </c>
      <c r="C108" s="214"/>
      <c r="D108" s="159">
        <f t="shared" ref="D108:M108" si="47">SUM(D84,D94,D99,D105)</f>
        <v>-4.6604809424008238</v>
      </c>
      <c r="E108" s="159">
        <f t="shared" si="47"/>
        <v>-11.527446484977901</v>
      </c>
      <c r="F108" s="159">
        <f t="shared" si="47"/>
        <v>46.152677335392582</v>
      </c>
      <c r="G108" s="159">
        <f t="shared" si="47"/>
        <v>75.888760861558353</v>
      </c>
      <c r="H108" s="159">
        <f t="shared" si="47"/>
        <v>103.97341453053532</v>
      </c>
      <c r="I108" s="159">
        <f t="shared" si="47"/>
        <v>96.56868392071577</v>
      </c>
      <c r="J108" s="159">
        <f t="shared" si="47"/>
        <v>80.13810905080058</v>
      </c>
      <c r="K108" s="159">
        <f t="shared" si="47"/>
        <v>65.653402733825786</v>
      </c>
      <c r="L108" s="159">
        <f t="shared" si="47"/>
        <v>60.292179423422965</v>
      </c>
      <c r="M108" s="159">
        <f t="shared" si="47"/>
        <v>44.59523016544027</v>
      </c>
      <c r="Y108" s="67"/>
    </row>
    <row r="109" spans="1:25">
      <c r="A109" s="68"/>
      <c r="F109" s="76"/>
      <c r="Y109" s="67"/>
    </row>
    <row r="110" spans="1:25">
      <c r="A110" s="68"/>
      <c r="D110" s="142"/>
      <c r="E110" s="142"/>
      <c r="F110" s="142"/>
      <c r="G110" s="142"/>
      <c r="H110" s="142"/>
      <c r="I110" s="142"/>
      <c r="J110" s="142"/>
      <c r="K110" s="142"/>
      <c r="L110" s="142"/>
      <c r="M110" s="142"/>
      <c r="N110" s="142"/>
      <c r="O110" s="142"/>
      <c r="Y110" s="67"/>
    </row>
    <row r="111" spans="1:25" ht="18">
      <c r="A111" s="69"/>
      <c r="B111" s="168" t="s">
        <v>216</v>
      </c>
      <c r="C111" s="139"/>
      <c r="D111" s="143"/>
      <c r="E111" s="144"/>
      <c r="F111" s="145"/>
      <c r="G111" s="145"/>
      <c r="H111" s="145"/>
      <c r="I111" s="145"/>
      <c r="J111" s="145"/>
      <c r="K111" s="145"/>
      <c r="L111" s="145"/>
      <c r="M111" s="145"/>
      <c r="N111" s="145"/>
      <c r="O111" s="145"/>
      <c r="P111" s="12"/>
      <c r="Q111" s="12"/>
      <c r="R111" s="12"/>
      <c r="S111" s="12"/>
      <c r="T111" s="12"/>
      <c r="U111" s="12"/>
      <c r="V111" s="12"/>
      <c r="W111" s="12"/>
      <c r="X111" s="12"/>
      <c r="Y111" s="71"/>
    </row>
    <row r="112" spans="1:25">
      <c r="A112" s="68"/>
      <c r="D112" s="142"/>
      <c r="E112" s="142"/>
      <c r="F112" s="142"/>
      <c r="G112" s="142"/>
      <c r="H112" s="142"/>
      <c r="I112" s="142"/>
      <c r="J112" s="142"/>
      <c r="K112" s="142"/>
      <c r="L112" s="142"/>
      <c r="M112" s="142"/>
      <c r="N112" s="142"/>
      <c r="O112" s="142"/>
      <c r="Y112" s="67"/>
    </row>
    <row r="113" spans="1:25">
      <c r="A113" s="68"/>
      <c r="D113" s="142"/>
      <c r="E113" s="142"/>
      <c r="F113" s="142"/>
      <c r="G113" s="142"/>
      <c r="H113" s="142"/>
      <c r="I113" s="142"/>
      <c r="J113" s="142"/>
      <c r="K113" s="142"/>
      <c r="L113" s="142"/>
      <c r="M113" s="142"/>
      <c r="N113" s="142"/>
      <c r="O113" s="142"/>
      <c r="Y113" s="67"/>
    </row>
    <row r="114" spans="1:25" ht="15.6">
      <c r="A114" s="68"/>
      <c r="B114" s="126" t="s">
        <v>102</v>
      </c>
      <c r="C114" s="130"/>
      <c r="D114" s="131">
        <v>2022</v>
      </c>
      <c r="E114" s="131">
        <v>2023</v>
      </c>
      <c r="F114" s="131">
        <v>2024</v>
      </c>
      <c r="G114" s="131">
        <v>2025</v>
      </c>
      <c r="H114" s="131">
        <v>2026</v>
      </c>
      <c r="I114" s="131">
        <v>2027</v>
      </c>
      <c r="J114" s="131">
        <v>2028</v>
      </c>
      <c r="K114" s="131">
        <v>2029</v>
      </c>
      <c r="L114" s="131">
        <v>2030</v>
      </c>
      <c r="M114" s="131">
        <v>2031</v>
      </c>
      <c r="N114" s="131">
        <v>2032</v>
      </c>
      <c r="P114" s="141"/>
      <c r="Q114" s="141"/>
      <c r="Y114" s="67"/>
    </row>
    <row r="115" spans="1:25" ht="20.100000000000001" customHeight="1">
      <c r="A115" s="68"/>
      <c r="B115" s="259" t="s">
        <v>57</v>
      </c>
      <c r="C115" s="259" t="s">
        <v>217</v>
      </c>
      <c r="D115" s="80">
        <f>$C$36*D72</f>
        <v>-77313.906537235147</v>
      </c>
      <c r="E115" s="80">
        <f t="shared" ref="E115:M115" si="48">$C$36*E72</f>
        <v>-73701.41923944313</v>
      </c>
      <c r="F115" s="80">
        <f t="shared" si="48"/>
        <v>111930.84160194575</v>
      </c>
      <c r="G115" s="80">
        <f t="shared" si="48"/>
        <v>1271513.86000889</v>
      </c>
      <c r="H115" s="80">
        <f t="shared" si="48"/>
        <v>1094662.2973697558</v>
      </c>
      <c r="I115" s="80">
        <f t="shared" si="48"/>
        <v>1022934.21220342</v>
      </c>
      <c r="J115" s="80">
        <f t="shared" si="48"/>
        <v>835258.56642245513</v>
      </c>
      <c r="K115" s="80">
        <f t="shared" si="48"/>
        <v>662280.65614958445</v>
      </c>
      <c r="L115" s="80">
        <f t="shared" si="48"/>
        <v>588724.64243868645</v>
      </c>
      <c r="M115" s="80">
        <f t="shared" si="48"/>
        <v>456185.12015607732</v>
      </c>
      <c r="N115" s="80">
        <f>$C$36*O72</f>
        <v>0</v>
      </c>
      <c r="P115" s="141"/>
      <c r="Q115" s="141"/>
      <c r="Y115" s="67"/>
    </row>
    <row r="116" spans="1:25" ht="20.100000000000001" customHeight="1">
      <c r="A116" s="68"/>
      <c r="B116" s="259" t="s">
        <v>58</v>
      </c>
      <c r="C116" s="259" t="s">
        <v>217</v>
      </c>
      <c r="D116" s="80">
        <v>0</v>
      </c>
      <c r="E116" s="80">
        <f t="shared" ref="E116:N116" si="49">D108*$D$36</f>
        <v>-76744.139678514359</v>
      </c>
      <c r="F116" s="80">
        <f t="shared" si="49"/>
        <v>-189822.4612681311</v>
      </c>
      <c r="G116" s="80">
        <f t="shared" si="49"/>
        <v>759996.1376819096</v>
      </c>
      <c r="H116" s="80">
        <f t="shared" si="49"/>
        <v>1249660.2251072815</v>
      </c>
      <c r="I116" s="80">
        <f t="shared" si="49"/>
        <v>1712130.2170743251</v>
      </c>
      <c r="J116" s="80">
        <f t="shared" si="49"/>
        <v>1590196.5181224267</v>
      </c>
      <c r="K116" s="80">
        <f t="shared" si="49"/>
        <v>1319634.2417395331</v>
      </c>
      <c r="L116" s="80">
        <f t="shared" si="49"/>
        <v>1081114.5828179093</v>
      </c>
      <c r="M116" s="80">
        <f t="shared" si="49"/>
        <v>992831.31856550602</v>
      </c>
      <c r="N116" s="80">
        <f t="shared" si="49"/>
        <v>734349.65513430489</v>
      </c>
      <c r="P116" s="141"/>
      <c r="Q116" s="141"/>
      <c r="Y116" s="67"/>
    </row>
    <row r="117" spans="1:25" ht="18.600000000000001" customHeight="1">
      <c r="A117" s="68"/>
      <c r="B117" s="259" t="s">
        <v>168</v>
      </c>
      <c r="C117" s="259" t="s">
        <v>217</v>
      </c>
      <c r="D117" s="80">
        <f t="shared" ref="D117:N117" si="50">SUM(D115:D116)</f>
        <v>-77313.906537235147</v>
      </c>
      <c r="E117" s="80">
        <f t="shared" si="50"/>
        <v>-150445.55891795747</v>
      </c>
      <c r="F117" s="80">
        <f t="shared" si="50"/>
        <v>-77891.619666185346</v>
      </c>
      <c r="G117" s="80">
        <f t="shared" si="50"/>
        <v>2031509.9976907996</v>
      </c>
      <c r="H117" s="80">
        <f t="shared" si="50"/>
        <v>2344322.5224770373</v>
      </c>
      <c r="I117" s="80">
        <f t="shared" si="50"/>
        <v>2735064.4292777451</v>
      </c>
      <c r="J117" s="80">
        <f t="shared" si="50"/>
        <v>2425455.0845448817</v>
      </c>
      <c r="K117" s="80">
        <f t="shared" si="50"/>
        <v>1981914.8978891177</v>
      </c>
      <c r="L117" s="80">
        <f t="shared" si="50"/>
        <v>1669839.2252565958</v>
      </c>
      <c r="M117" s="80">
        <f t="shared" si="50"/>
        <v>1449016.4387215832</v>
      </c>
      <c r="N117" s="80">
        <f t="shared" si="50"/>
        <v>734349.65513430489</v>
      </c>
      <c r="P117" s="141"/>
      <c r="Q117" s="141"/>
      <c r="Y117" s="67"/>
    </row>
    <row r="118" spans="1:25">
      <c r="A118" s="68"/>
      <c r="Y118" s="67"/>
    </row>
    <row r="119" spans="1:25" ht="18">
      <c r="A119" s="69"/>
      <c r="B119" s="168" t="s">
        <v>218</v>
      </c>
      <c r="C119" s="139"/>
      <c r="D119" s="106"/>
      <c r="E119" s="117"/>
      <c r="F119" s="12"/>
      <c r="G119" s="12"/>
      <c r="H119" s="12"/>
      <c r="I119" s="12"/>
      <c r="J119" s="12"/>
      <c r="K119" s="12"/>
      <c r="L119" s="12"/>
      <c r="M119" s="12"/>
      <c r="N119" s="12"/>
      <c r="O119" s="12"/>
      <c r="P119" s="12"/>
      <c r="Q119" s="12"/>
      <c r="R119" s="12"/>
      <c r="S119" s="12"/>
      <c r="T119" s="12"/>
      <c r="U119" s="12"/>
      <c r="V119" s="12"/>
      <c r="W119" s="12"/>
      <c r="X119" s="12"/>
      <c r="Y119" s="71"/>
    </row>
    <row r="120" spans="1:25" s="24" customFormat="1" ht="18">
      <c r="A120" s="146"/>
      <c r="B120" s="36"/>
      <c r="C120" s="147"/>
      <c r="D120" s="148"/>
      <c r="E120" s="149"/>
      <c r="F120" s="36"/>
      <c r="G120" s="36"/>
      <c r="H120" s="36"/>
      <c r="I120" s="36"/>
      <c r="J120" s="36"/>
      <c r="K120" s="36"/>
      <c r="L120" s="36"/>
      <c r="M120" s="36"/>
      <c r="N120" s="36"/>
      <c r="O120" s="36"/>
      <c r="P120" s="36"/>
      <c r="Q120" s="36"/>
      <c r="R120" s="36"/>
      <c r="S120" s="36"/>
      <c r="T120" s="36"/>
      <c r="U120" s="36"/>
      <c r="V120" s="36"/>
      <c r="W120" s="36"/>
      <c r="X120" s="36"/>
      <c r="Y120" s="93"/>
    </row>
    <row r="121" spans="1:25" ht="15.75" customHeight="1">
      <c r="A121" s="68"/>
      <c r="B121" s="132"/>
      <c r="C121" s="132"/>
      <c r="D121" s="132">
        <v>2021</v>
      </c>
      <c r="E121" s="4">
        <v>2022</v>
      </c>
      <c r="F121" s="4">
        <v>2023</v>
      </c>
      <c r="G121" s="4">
        <v>2024</v>
      </c>
      <c r="H121" s="4">
        <v>2025</v>
      </c>
      <c r="Y121" s="67"/>
    </row>
    <row r="122" spans="1:25" ht="15" customHeight="1">
      <c r="A122" s="68"/>
      <c r="B122" s="259" t="s">
        <v>219</v>
      </c>
      <c r="C122" s="61"/>
      <c r="D122" s="203">
        <f>57534/(1+C5)</f>
        <v>50029.565217391311</v>
      </c>
      <c r="E122" s="203">
        <f>866771/(1+C5)</f>
        <v>753713.91304347827</v>
      </c>
      <c r="F122" s="203">
        <f>1361556.75/(1+C5)</f>
        <v>1183962.3913043479</v>
      </c>
      <c r="G122" s="203">
        <f>787612.48/(1+C5)</f>
        <v>684880.41739130439</v>
      </c>
      <c r="H122" s="203">
        <f>328597.46/(1+C5)+309743+99963</f>
        <v>695442.92173913051</v>
      </c>
      <c r="Y122" s="67"/>
    </row>
    <row r="123" spans="1:25" ht="15" customHeight="1">
      <c r="A123" s="68"/>
      <c r="B123" s="259" t="s">
        <v>220</v>
      </c>
      <c r="C123" s="61"/>
      <c r="D123" s="80">
        <f>D122/('Model input'!D48/'Model input'!$D$48)</f>
        <v>50029.565217391311</v>
      </c>
      <c r="E123" s="80">
        <f>E122/('Model input'!E48/'Model input'!$D$48)</f>
        <v>710413.93982300325</v>
      </c>
      <c r="F123" s="80">
        <f>F122/('Model input'!F48/'Model input'!$D$48)</f>
        <v>1051389.4481898581</v>
      </c>
      <c r="G123" s="80">
        <f>G122/('Model input'!G48/'Model input'!$D$48)</f>
        <v>589913.54622691171</v>
      </c>
      <c r="H123" s="80">
        <f>H122/('Model input'!H48/'Model input'!$D$48)</f>
        <v>585027.24510172254</v>
      </c>
      <c r="Y123" s="67"/>
    </row>
    <row r="124" spans="1:25" ht="15" customHeight="1">
      <c r="A124" s="68"/>
      <c r="B124" s="259" t="s">
        <v>221</v>
      </c>
      <c r="C124" s="61"/>
      <c r="D124" s="80">
        <f>D123/(1+$C$3)^(D121-2021)</f>
        <v>50029.565217391311</v>
      </c>
      <c r="E124" s="80">
        <f>E123/(1+$C$3)^(E121-2021)</f>
        <v>645830.85438454838</v>
      </c>
      <c r="F124" s="80">
        <f>F123/(1+$C$3)^(F121-2021)</f>
        <v>868916.89933046116</v>
      </c>
      <c r="G124" s="80">
        <f>G123/(1+$C$3)^(G121-2021)</f>
        <v>443210.77853261575</v>
      </c>
      <c r="H124" s="80">
        <f>H123/(1+$C$3)^(H121-2021)</f>
        <v>399581.48015963554</v>
      </c>
      <c r="Y124" s="67"/>
    </row>
    <row r="125" spans="1:25">
      <c r="A125" s="68"/>
      <c r="D125" s="141"/>
      <c r="E125" s="141"/>
      <c r="F125" s="141"/>
      <c r="G125" s="141"/>
      <c r="H125" s="141"/>
      <c r="Y125" s="67"/>
    </row>
    <row r="126" spans="1:25" ht="17.100000000000001" customHeight="1">
      <c r="A126" s="68"/>
      <c r="B126" s="162" t="s">
        <v>222</v>
      </c>
      <c r="C126" s="163">
        <f>SUM(D124:H124)</f>
        <v>2407569.5776246525</v>
      </c>
      <c r="D126" s="150"/>
      <c r="E126" s="150"/>
      <c r="F126" s="150"/>
      <c r="G126" s="141"/>
      <c r="H126" s="141"/>
      <c r="Y126" s="67"/>
    </row>
    <row r="127" spans="1:25" ht="16.5" customHeight="1">
      <c r="A127" s="68"/>
      <c r="B127" s="162" t="s">
        <v>223</v>
      </c>
      <c r="C127" s="163">
        <f>C126/SUM(E36)</f>
        <v>97.067676394978534</v>
      </c>
      <c r="D127" s="150"/>
      <c r="E127" s="150"/>
      <c r="F127" s="150"/>
      <c r="G127" s="141"/>
      <c r="H127" s="141"/>
      <c r="Y127" s="67"/>
    </row>
    <row r="128" spans="1:25" ht="25.9">
      <c r="A128" s="68"/>
      <c r="B128" s="121"/>
      <c r="C128" s="151"/>
      <c r="D128" s="150"/>
      <c r="E128" s="150"/>
      <c r="F128" s="150"/>
      <c r="G128" s="141"/>
      <c r="Y128" s="67"/>
    </row>
    <row r="129" spans="1:25" ht="18">
      <c r="A129" s="69"/>
      <c r="B129" s="168" t="s">
        <v>224</v>
      </c>
      <c r="C129" s="139"/>
      <c r="D129" s="106"/>
      <c r="E129" s="117"/>
      <c r="F129" s="12"/>
      <c r="G129" s="12"/>
      <c r="H129" s="12"/>
      <c r="I129" s="12"/>
      <c r="J129" s="12"/>
      <c r="K129" s="12"/>
      <c r="L129" s="12"/>
      <c r="M129" s="12"/>
      <c r="N129" s="12"/>
      <c r="O129" s="12"/>
      <c r="P129" s="12"/>
      <c r="Q129" s="12"/>
      <c r="R129" s="12"/>
      <c r="S129" s="12"/>
      <c r="T129" s="12"/>
      <c r="U129" s="12"/>
      <c r="V129" s="12"/>
      <c r="W129" s="12"/>
      <c r="X129" s="12"/>
      <c r="Y129" s="71"/>
    </row>
    <row r="130" spans="1:25" ht="18">
      <c r="A130" s="68"/>
      <c r="B130" s="105"/>
      <c r="C130" s="152"/>
      <c r="D130" s="115"/>
      <c r="E130" s="116"/>
      <c r="F130" s="105"/>
      <c r="G130" s="105"/>
      <c r="H130" s="105"/>
      <c r="I130" s="105"/>
      <c r="J130" s="105"/>
      <c r="K130" s="105"/>
      <c r="L130" s="105"/>
      <c r="M130" s="105"/>
      <c r="N130" s="105"/>
      <c r="O130" s="105"/>
      <c r="P130" s="105"/>
      <c r="Q130" s="105"/>
      <c r="R130" s="105"/>
      <c r="S130" s="105"/>
      <c r="T130" s="105"/>
      <c r="U130" s="105"/>
      <c r="V130" s="105"/>
      <c r="W130" s="105"/>
      <c r="X130" s="105"/>
      <c r="Y130" s="94"/>
    </row>
    <row r="131" spans="1:25" ht="28.5" customHeight="1">
      <c r="A131" s="68"/>
      <c r="B131" s="162" t="s">
        <v>225</v>
      </c>
      <c r="C131" s="163">
        <f>SUM(D117:N117)</f>
        <v>15065821.165870689</v>
      </c>
      <c r="Y131" s="67"/>
    </row>
    <row r="132" spans="1:25" ht="23.1" customHeight="1">
      <c r="A132" s="68"/>
      <c r="B132" s="162" t="s">
        <v>226</v>
      </c>
      <c r="C132" s="163">
        <f>C131-C126</f>
        <v>12658251.588246036</v>
      </c>
      <c r="Y132" s="67"/>
    </row>
    <row r="133" spans="1:25" ht="23.1" customHeight="1">
      <c r="A133" s="68"/>
      <c r="B133" s="162" t="s">
        <v>227</v>
      </c>
      <c r="C133" s="163">
        <f>SUM(D72:O72)</f>
        <v>706.87078581743481</v>
      </c>
      <c r="Y133" s="67"/>
    </row>
    <row r="134" spans="1:25" ht="23.1" customHeight="1">
      <c r="A134" s="68"/>
      <c r="B134" s="162" t="s">
        <v>228</v>
      </c>
      <c r="C134" s="163">
        <f>SUM(D108:M108)</f>
        <v>557.07453059431293</v>
      </c>
      <c r="Y134" s="67"/>
    </row>
    <row r="135" spans="1:25" ht="15.6">
      <c r="A135" s="68"/>
      <c r="B135" s="162" t="s">
        <v>229</v>
      </c>
      <c r="C135" s="163">
        <f>SUM(D117:N117)/SUM(C36:D36)</f>
        <v>607.41931080396273</v>
      </c>
      <c r="Y135" s="67"/>
    </row>
    <row r="136" spans="1:25" ht="24.6" customHeight="1">
      <c r="A136" s="68"/>
      <c r="B136" s="162" t="s">
        <v>230</v>
      </c>
      <c r="C136" s="164">
        <f>C135-C127</f>
        <v>510.35163440898418</v>
      </c>
      <c r="Y136" s="67"/>
    </row>
    <row r="137" spans="1:25" ht="21.75" customHeight="1">
      <c r="A137" s="68"/>
      <c r="B137" s="162" t="s">
        <v>231</v>
      </c>
      <c r="C137" s="165">
        <f>AVERAGE(D70:M70)/C30</f>
        <v>6.711212897563848E-2</v>
      </c>
      <c r="Y137" s="67"/>
    </row>
    <row r="138" spans="1:25" ht="17.25" customHeight="1">
      <c r="A138" s="68"/>
      <c r="F138" s="153"/>
      <c r="Y138" s="67"/>
    </row>
    <row r="139" spans="1:25" ht="18">
      <c r="A139" s="69"/>
      <c r="B139" s="168" t="s">
        <v>232</v>
      </c>
      <c r="C139" s="139"/>
      <c r="D139" s="106"/>
      <c r="E139" s="117"/>
      <c r="F139" s="12"/>
      <c r="G139" s="12"/>
      <c r="H139" s="12"/>
      <c r="I139" s="12"/>
      <c r="J139" s="12"/>
      <c r="K139" s="12"/>
      <c r="L139" s="12"/>
      <c r="M139" s="12"/>
      <c r="N139" s="12"/>
      <c r="O139" s="12"/>
      <c r="P139" s="12"/>
      <c r="Q139" s="12"/>
      <c r="R139" s="12"/>
      <c r="S139" s="12"/>
      <c r="T139" s="12"/>
      <c r="U139" s="12"/>
      <c r="V139" s="12"/>
      <c r="W139" s="12"/>
      <c r="X139" s="12"/>
      <c r="Y139" s="71"/>
    </row>
    <row r="140" spans="1:25">
      <c r="A140" s="68"/>
      <c r="Y140" s="67"/>
    </row>
    <row r="141" spans="1:25" ht="35.1" customHeight="1">
      <c r="A141" s="68"/>
      <c r="B141" s="133" t="s">
        <v>233</v>
      </c>
      <c r="C141" s="82">
        <f>C131/C126</f>
        <v>6.2576887936650509</v>
      </c>
      <c r="D141" s="90" t="s">
        <v>234</v>
      </c>
      <c r="E141" s="154"/>
      <c r="Y141" s="67"/>
    </row>
    <row r="142" spans="1:25" ht="14.85" customHeight="1">
      <c r="A142" s="68"/>
      <c r="I142" s="238"/>
      <c r="J142" s="238"/>
      <c r="K142" s="238"/>
      <c r="M142" s="238"/>
      <c r="N142" s="273"/>
      <c r="O142" s="273"/>
      <c r="P142" s="273"/>
      <c r="Q142" s="273"/>
      <c r="Y142" s="67"/>
    </row>
    <row r="143" spans="1:25" ht="18">
      <c r="A143" s="69"/>
      <c r="B143" s="168" t="s">
        <v>235</v>
      </c>
      <c r="C143" s="139"/>
      <c r="D143" s="106"/>
      <c r="E143" s="117"/>
      <c r="F143" s="12"/>
      <c r="G143" s="12"/>
      <c r="H143" s="12"/>
      <c r="I143" s="12"/>
      <c r="J143" s="12"/>
      <c r="K143" s="12"/>
      <c r="L143" s="12"/>
      <c r="M143" s="12"/>
      <c r="N143" s="12"/>
      <c r="O143" s="12"/>
      <c r="P143" s="12"/>
      <c r="Q143" s="12"/>
      <c r="R143" s="12"/>
      <c r="S143" s="12"/>
      <c r="T143" s="12"/>
      <c r="U143" s="12"/>
      <c r="V143" s="12"/>
      <c r="W143" s="12"/>
      <c r="X143" s="12"/>
      <c r="Y143" s="71"/>
    </row>
    <row r="144" spans="1:25">
      <c r="A144" s="68"/>
      <c r="C144"/>
      <c r="E144" s="273"/>
      <c r="F144" s="273"/>
      <c r="G144" s="273"/>
      <c r="H144" s="273"/>
      <c r="I144" s="273"/>
      <c r="J144" s="273"/>
      <c r="K144" s="273"/>
      <c r="Y144" s="67"/>
    </row>
    <row r="145" spans="1:25" ht="17.25" customHeight="1">
      <c r="A145" s="68"/>
      <c r="B145" s="332" t="s">
        <v>236</v>
      </c>
      <c r="C145" s="332"/>
      <c r="F145" s="333" t="s">
        <v>237</v>
      </c>
      <c r="G145" s="333"/>
      <c r="H145" s="333"/>
      <c r="I145" s="333"/>
      <c r="J145" s="333"/>
      <c r="K145" s="333"/>
      <c r="L145" s="333"/>
      <c r="P145" s="333" t="s">
        <v>238</v>
      </c>
      <c r="Q145" s="333"/>
      <c r="R145" s="333"/>
      <c r="S145" s="333"/>
      <c r="T145" s="333"/>
      <c r="U145" s="333"/>
      <c r="V145" s="333"/>
      <c r="Y145" s="67"/>
    </row>
    <row r="146" spans="1:25" ht="15" customHeight="1">
      <c r="A146" s="68"/>
      <c r="B146" s="332"/>
      <c r="C146" s="332"/>
      <c r="E146" s="155">
        <f>C141</f>
        <v>6.2576887936650509</v>
      </c>
      <c r="F146" s="334">
        <v>0</v>
      </c>
      <c r="G146" s="334">
        <v>0.05</v>
      </c>
      <c r="H146" s="98">
        <v>0.1</v>
      </c>
      <c r="I146" s="334">
        <v>0.125</v>
      </c>
      <c r="J146" s="334">
        <v>0.15</v>
      </c>
      <c r="K146" s="334">
        <v>0.17499999999999999</v>
      </c>
      <c r="L146" s="334">
        <v>0.2</v>
      </c>
      <c r="O146" s="155">
        <f>C141</f>
        <v>6.2576887936650509</v>
      </c>
      <c r="P146" s="335">
        <v>-0.3</v>
      </c>
      <c r="Q146" s="335">
        <v>-0.2</v>
      </c>
      <c r="R146" s="335">
        <v>-0.1</v>
      </c>
      <c r="S146" s="96">
        <v>0</v>
      </c>
      <c r="T146" s="335">
        <v>0.1</v>
      </c>
      <c r="U146" s="335">
        <v>0.2</v>
      </c>
      <c r="V146" s="335">
        <v>0.3</v>
      </c>
      <c r="Y146" s="67"/>
    </row>
    <row r="147" spans="1:25" ht="15" customHeight="1">
      <c r="A147" s="68"/>
      <c r="B147" s="332"/>
      <c r="C147" s="332"/>
      <c r="D147" s="336" t="s">
        <v>239</v>
      </c>
      <c r="E147" s="314">
        <v>5000</v>
      </c>
      <c r="F147" s="337">
        <f t="dataTable" ref="F147:L156" dt2D="1" dtr="1" r1="C3" r2="D36" ca="1"/>
        <v>6.9359899600911961</v>
      </c>
      <c r="G147" s="337">
        <v>5.5331565395412161</v>
      </c>
      <c r="H147" s="337">
        <v>4.47442631380473</v>
      </c>
      <c r="I147" s="337">
        <v>4.0418224777643621</v>
      </c>
      <c r="J147" s="337">
        <v>3.66099435359805</v>
      </c>
      <c r="K147" s="337">
        <v>3.324433281325986</v>
      </c>
      <c r="L147" s="337">
        <v>3.0258885346143489</v>
      </c>
      <c r="N147" s="336" t="s">
        <v>240</v>
      </c>
      <c r="O147" s="338">
        <v>0.4</v>
      </c>
      <c r="P147" s="339">
        <f t="dataTable" ref="P147:V153" dt2D="1" dtr="1" r1="C7" r2="C13"/>
        <v>1.4041285034569777</v>
      </c>
      <c r="Q147" s="337">
        <v>1.6364892106453284</v>
      </c>
      <c r="R147" s="337">
        <v>1.868849917833679</v>
      </c>
      <c r="S147" s="337">
        <v>2.1012106250220297</v>
      </c>
      <c r="T147" s="337">
        <v>2.3335713322103806</v>
      </c>
      <c r="U147" s="337">
        <v>2.5659320393987315</v>
      </c>
      <c r="V147" s="337">
        <v>2.7982927465870815</v>
      </c>
      <c r="Y147" s="67"/>
    </row>
    <row r="148" spans="1:25">
      <c r="A148" s="68"/>
      <c r="B148" s="332"/>
      <c r="C148" s="332"/>
      <c r="D148" s="336"/>
      <c r="E148" s="314">
        <v>7500</v>
      </c>
      <c r="F148" s="337">
        <v>7.4871305263856796</v>
      </c>
      <c r="G148" s="337">
        <v>5.9917351119739477</v>
      </c>
      <c r="H148" s="337">
        <v>4.8632077038501489</v>
      </c>
      <c r="I148" s="337">
        <v>4.4020384466795095</v>
      </c>
      <c r="J148" s="337">
        <v>3.9960060553972583</v>
      </c>
      <c r="K148" s="337">
        <v>3.6370982287922553</v>
      </c>
      <c r="L148" s="337">
        <v>3.3186476660683244</v>
      </c>
      <c r="N148" s="336"/>
      <c r="O148" s="338">
        <v>0.5</v>
      </c>
      <c r="P148" s="337">
        <v>1.9301965390969551</v>
      </c>
      <c r="Q148" s="337">
        <v>2.2181166882188146</v>
      </c>
      <c r="R148" s="337">
        <v>2.5060368373406741</v>
      </c>
      <c r="S148" s="337">
        <v>2.7939569864625331</v>
      </c>
      <c r="T148" s="337">
        <v>3.0818771355843926</v>
      </c>
      <c r="U148" s="337">
        <v>3.3697972847062512</v>
      </c>
      <c r="V148" s="337">
        <v>3.6577174338281111</v>
      </c>
      <c r="Y148" s="67"/>
    </row>
    <row r="149" spans="1:25">
      <c r="A149" s="68"/>
      <c r="B149" s="332"/>
      <c r="C149" s="332"/>
      <c r="D149" s="336"/>
      <c r="E149" s="314">
        <v>10000</v>
      </c>
      <c r="F149" s="337">
        <v>8.0382710926801604</v>
      </c>
      <c r="G149" s="337">
        <v>6.4503136844066757</v>
      </c>
      <c r="H149" s="337">
        <v>5.2519890938955651</v>
      </c>
      <c r="I149" s="337">
        <v>4.7622544155946551</v>
      </c>
      <c r="J149" s="337">
        <v>4.3310177571964648</v>
      </c>
      <c r="K149" s="337">
        <v>3.9497631762585232</v>
      </c>
      <c r="L149" s="337">
        <v>3.6114067975222985</v>
      </c>
      <c r="N149" s="336"/>
      <c r="O149" s="338">
        <v>0.6</v>
      </c>
      <c r="P149" s="337">
        <v>2.4562645747369327</v>
      </c>
      <c r="Q149" s="337">
        <v>2.7997441657923017</v>
      </c>
      <c r="R149" s="337">
        <v>3.1432237568476693</v>
      </c>
      <c r="S149" s="337">
        <v>3.4867033479030374</v>
      </c>
      <c r="T149" s="337">
        <v>3.8301829389584054</v>
      </c>
      <c r="U149" s="337">
        <v>4.1736625300137726</v>
      </c>
      <c r="V149" s="337">
        <v>4.5171421210691411</v>
      </c>
      <c r="Y149" s="67"/>
    </row>
    <row r="150" spans="1:25">
      <c r="A150" s="68"/>
      <c r="B150" s="332"/>
      <c r="C150" s="332"/>
      <c r="D150" s="336"/>
      <c r="E150" s="314">
        <v>12500</v>
      </c>
      <c r="F150" s="337">
        <v>8.5894116589746403</v>
      </c>
      <c r="G150" s="337">
        <v>6.9088922568394073</v>
      </c>
      <c r="H150" s="337">
        <v>5.6407704839409822</v>
      </c>
      <c r="I150" s="337">
        <v>5.1224703845098007</v>
      </c>
      <c r="J150" s="337">
        <v>4.6660294589956717</v>
      </c>
      <c r="K150" s="337">
        <v>4.2624281237247903</v>
      </c>
      <c r="L150" s="337">
        <v>3.9041659289762736</v>
      </c>
      <c r="N150" s="336"/>
      <c r="O150" s="338">
        <v>0.7</v>
      </c>
      <c r="P150" s="337">
        <v>2.9823326103769103</v>
      </c>
      <c r="Q150" s="337">
        <v>3.3813716433657874</v>
      </c>
      <c r="R150" s="337">
        <v>3.7804106763546641</v>
      </c>
      <c r="S150" s="337">
        <v>4.1794497093435394</v>
      </c>
      <c r="T150" s="337">
        <v>4.578488742332417</v>
      </c>
      <c r="U150" s="337">
        <v>4.9775277753212936</v>
      </c>
      <c r="V150" s="337">
        <v>5.3765668083101694</v>
      </c>
      <c r="Y150" s="67"/>
    </row>
    <row r="151" spans="1:25">
      <c r="A151" s="68"/>
      <c r="B151" s="332"/>
      <c r="C151" s="332"/>
      <c r="D151" s="336"/>
      <c r="E151" s="314">
        <v>15000</v>
      </c>
      <c r="F151" s="337">
        <v>9.140552225269122</v>
      </c>
      <c r="G151" s="337">
        <v>7.3674708292721354</v>
      </c>
      <c r="H151" s="337">
        <v>6.0295518739863994</v>
      </c>
      <c r="I151" s="337">
        <v>5.4826863534249481</v>
      </c>
      <c r="J151" s="337">
        <v>5.0010411607948795</v>
      </c>
      <c r="K151" s="337">
        <v>4.57509307119106</v>
      </c>
      <c r="L151" s="337">
        <v>4.1969250604302477</v>
      </c>
      <c r="N151" s="336"/>
      <c r="O151" s="338">
        <v>0.8</v>
      </c>
      <c r="P151" s="337">
        <v>3.5084006460168884</v>
      </c>
      <c r="Q151" s="337">
        <v>3.9629991209392741</v>
      </c>
      <c r="R151" s="337">
        <v>4.4175975958616593</v>
      </c>
      <c r="S151" s="337">
        <v>4.8721960707840442</v>
      </c>
      <c r="T151" s="337">
        <v>5.3267945457064299</v>
      </c>
      <c r="U151" s="337">
        <v>5.7813930206288138</v>
      </c>
      <c r="V151" s="337">
        <v>6.2359914955511995</v>
      </c>
      <c r="Y151" s="67"/>
    </row>
    <row r="152" spans="1:25">
      <c r="A152" s="68"/>
      <c r="B152" s="332"/>
      <c r="C152" s="332"/>
      <c r="D152" s="336"/>
      <c r="E152" s="100">
        <v>16467</v>
      </c>
      <c r="F152" s="337">
        <v>9.4639615095707246</v>
      </c>
      <c r="G152" s="337">
        <v>7.6365647355756625</v>
      </c>
      <c r="H152" s="156">
        <v>6.2576887936650509</v>
      </c>
      <c r="I152" s="337">
        <v>5.6940610839843568</v>
      </c>
      <c r="J152" s="337">
        <v>5.1976260274106538</v>
      </c>
      <c r="K152" s="337">
        <v>4.758564862364266</v>
      </c>
      <c r="L152" s="337">
        <v>4.3687161187674404</v>
      </c>
      <c r="N152" s="336"/>
      <c r="O152" s="338">
        <v>0.9</v>
      </c>
      <c r="P152" s="337">
        <v>4.0344686816568665</v>
      </c>
      <c r="Q152" s="337">
        <v>4.5446265985127612</v>
      </c>
      <c r="R152" s="337">
        <v>5.0547845153686541</v>
      </c>
      <c r="S152" s="337">
        <v>5.5649424322245471</v>
      </c>
      <c r="T152" s="337">
        <v>6.0751003490804409</v>
      </c>
      <c r="U152" s="337">
        <v>6.5852582659363348</v>
      </c>
      <c r="V152" s="337">
        <v>7.0954161827922295</v>
      </c>
      <c r="Y152" s="67"/>
    </row>
    <row r="153" spans="1:25">
      <c r="A153" s="68"/>
      <c r="B153" s="332"/>
      <c r="C153" s="332"/>
      <c r="D153" s="336"/>
      <c r="E153" s="314">
        <v>17500</v>
      </c>
      <c r="F153" s="337">
        <v>9.691692791563602</v>
      </c>
      <c r="G153" s="337">
        <v>7.826049401704867</v>
      </c>
      <c r="H153" s="337">
        <v>6.4183332640318183</v>
      </c>
      <c r="I153" s="337">
        <v>5.8429023223400947</v>
      </c>
      <c r="J153" s="337">
        <v>5.3360528625940864</v>
      </c>
      <c r="K153" s="337">
        <v>4.887758018657328</v>
      </c>
      <c r="L153" s="337">
        <v>4.4896841918842227</v>
      </c>
      <c r="N153" s="336"/>
      <c r="O153" s="97">
        <v>1</v>
      </c>
      <c r="P153" s="337">
        <v>4.5605367172968441</v>
      </c>
      <c r="Q153" s="337">
        <v>5.1262540760862461</v>
      </c>
      <c r="R153" s="337">
        <v>5.6919714348756489</v>
      </c>
      <c r="S153" s="156">
        <v>6.2576887936650509</v>
      </c>
      <c r="T153" s="337">
        <v>6.8234061524544529</v>
      </c>
      <c r="U153" s="337">
        <v>7.3891235112438549</v>
      </c>
      <c r="V153" s="337">
        <v>7.9548408700332578</v>
      </c>
      <c r="Y153" s="67"/>
    </row>
    <row r="154" spans="1:25">
      <c r="A154" s="68"/>
      <c r="B154" s="332"/>
      <c r="C154" s="332"/>
      <c r="D154" s="336"/>
      <c r="E154" s="314">
        <v>20000</v>
      </c>
      <c r="F154" s="337">
        <v>10.242833357858084</v>
      </c>
      <c r="G154" s="337">
        <v>8.2846279741375959</v>
      </c>
      <c r="H154" s="337">
        <v>6.8071146540772336</v>
      </c>
      <c r="I154" s="337">
        <v>6.2031182912552403</v>
      </c>
      <c r="J154" s="337">
        <v>5.6710645643932942</v>
      </c>
      <c r="K154" s="337">
        <v>5.2004229661235959</v>
      </c>
      <c r="L154" s="337">
        <v>4.7824433233381978</v>
      </c>
      <c r="Y154" s="67"/>
    </row>
    <row r="155" spans="1:25">
      <c r="A155" s="68"/>
      <c r="B155" s="332"/>
      <c r="C155" s="332"/>
      <c r="D155" s="336"/>
      <c r="E155" s="314">
        <v>22500</v>
      </c>
      <c r="F155" s="337">
        <v>10.793973924152564</v>
      </c>
      <c r="G155" s="337">
        <v>8.7432065465703257</v>
      </c>
      <c r="H155" s="337">
        <v>7.1958960441226498</v>
      </c>
      <c r="I155" s="337">
        <v>6.5633342601703877</v>
      </c>
      <c r="J155" s="337">
        <v>6.0060762661925011</v>
      </c>
      <c r="K155" s="337">
        <v>5.5130879135898638</v>
      </c>
      <c r="L155" s="337">
        <v>5.0752024547921719</v>
      </c>
      <c r="Y155" s="67"/>
    </row>
    <row r="156" spans="1:25" ht="15" customHeight="1">
      <c r="A156" s="68"/>
      <c r="B156" s="332"/>
      <c r="C156" s="332"/>
      <c r="D156" s="336"/>
      <c r="E156" s="314">
        <v>25000</v>
      </c>
      <c r="F156" s="337">
        <v>11.345114490447047</v>
      </c>
      <c r="G156" s="337">
        <v>9.2017851190030555</v>
      </c>
      <c r="H156" s="337">
        <v>7.5846774341680696</v>
      </c>
      <c r="I156" s="337">
        <v>6.9235502290855333</v>
      </c>
      <c r="J156" s="337">
        <v>6.3410879679917072</v>
      </c>
      <c r="K156" s="337">
        <v>5.8257528610561327</v>
      </c>
      <c r="L156" s="337">
        <v>5.3679615862461469</v>
      </c>
      <c r="P156" s="333" t="s">
        <v>139</v>
      </c>
      <c r="Q156" s="333"/>
      <c r="R156" s="333"/>
      <c r="S156" s="333"/>
      <c r="T156" s="333"/>
      <c r="U156" s="333"/>
      <c r="V156" s="333"/>
      <c r="Y156" s="67"/>
    </row>
    <row r="157" spans="1:25">
      <c r="A157" s="68"/>
      <c r="B157" s="332"/>
      <c r="C157" s="332"/>
      <c r="O157" s="155">
        <f>C141</f>
        <v>6.2576887936650509</v>
      </c>
      <c r="P157" s="335">
        <v>0.4</v>
      </c>
      <c r="Q157" s="335">
        <v>0.5</v>
      </c>
      <c r="R157" s="335">
        <v>0.6</v>
      </c>
      <c r="S157" s="335">
        <v>0.7</v>
      </c>
      <c r="T157" s="335">
        <v>0.8</v>
      </c>
      <c r="U157" s="335">
        <v>0.9</v>
      </c>
      <c r="V157" s="96">
        <v>1</v>
      </c>
      <c r="Y157" s="67"/>
    </row>
    <row r="158" spans="1:25" ht="15.75" customHeight="1">
      <c r="A158" s="68"/>
      <c r="B158" s="332"/>
      <c r="C158" s="332"/>
      <c r="N158" s="336" t="s">
        <v>240</v>
      </c>
      <c r="O158" s="338">
        <v>0.4</v>
      </c>
      <c r="P158" s="337">
        <f t="dataTable" ref="P158:V164" dt2D="1" dtr="1" r1="C11" r2="C13" ca="1"/>
        <v>1.7298349866216354</v>
      </c>
      <c r="Q158" s="337">
        <v>1.7917309263550343</v>
      </c>
      <c r="R158" s="337">
        <v>1.8536268660884334</v>
      </c>
      <c r="S158" s="337">
        <v>1.9155228058218321</v>
      </c>
      <c r="T158" s="337">
        <v>1.9774187455552317</v>
      </c>
      <c r="U158" s="337">
        <v>2.0393146852886312</v>
      </c>
      <c r="V158" s="337">
        <v>2.1012106250220297</v>
      </c>
      <c r="Y158" s="67"/>
    </row>
    <row r="159" spans="1:25" ht="17.25" customHeight="1">
      <c r="A159" s="68"/>
      <c r="B159" s="332"/>
      <c r="C159" s="332"/>
      <c r="F159" s="333" t="s">
        <v>237</v>
      </c>
      <c r="G159" s="333"/>
      <c r="H159" s="333"/>
      <c r="I159" s="333"/>
      <c r="J159" s="333"/>
      <c r="K159" s="333"/>
      <c r="L159" s="333"/>
      <c r="N159" s="336"/>
      <c r="O159" s="338">
        <v>0.5</v>
      </c>
      <c r="P159" s="337">
        <v>2.0069335311978365</v>
      </c>
      <c r="Q159" s="337">
        <v>2.1381041070752858</v>
      </c>
      <c r="R159" s="337">
        <v>2.269274682952735</v>
      </c>
      <c r="S159" s="337">
        <v>2.4004452588301848</v>
      </c>
      <c r="T159" s="337">
        <v>2.5316158347076345</v>
      </c>
      <c r="U159" s="337">
        <v>2.6627864105850843</v>
      </c>
      <c r="V159" s="337">
        <v>2.7939569864625331</v>
      </c>
      <c r="Y159" s="67"/>
    </row>
    <row r="160" spans="1:25" ht="14.45" customHeight="1">
      <c r="A160" s="68"/>
      <c r="B160" s="332"/>
      <c r="C160" s="332"/>
      <c r="E160" s="157">
        <f>C141</f>
        <v>6.2576887936650509</v>
      </c>
      <c r="F160" s="334">
        <v>0</v>
      </c>
      <c r="G160" s="334">
        <v>0.05</v>
      </c>
      <c r="H160" s="98">
        <v>0.1</v>
      </c>
      <c r="I160" s="334">
        <v>0.125</v>
      </c>
      <c r="J160" s="334">
        <v>0.15</v>
      </c>
      <c r="K160" s="334">
        <v>0.17499999999999999</v>
      </c>
      <c r="L160" s="334">
        <v>0.2</v>
      </c>
      <c r="N160" s="336"/>
      <c r="O160" s="338">
        <v>0.6</v>
      </c>
      <c r="P160" s="337">
        <v>2.284032075774038</v>
      </c>
      <c r="Q160" s="337">
        <v>2.4844772877955381</v>
      </c>
      <c r="R160" s="337">
        <v>2.6849224998170373</v>
      </c>
      <c r="S160" s="337">
        <v>2.8853677118385375</v>
      </c>
      <c r="T160" s="337">
        <v>3.085812923860038</v>
      </c>
      <c r="U160" s="337">
        <v>3.2862581358815377</v>
      </c>
      <c r="V160" s="337">
        <v>3.4867033479030374</v>
      </c>
      <c r="Y160" s="67"/>
    </row>
    <row r="161" spans="1:25" ht="18" customHeight="1">
      <c r="A161" s="68"/>
      <c r="B161" s="332"/>
      <c r="C161" s="332"/>
      <c r="D161" s="336" t="s">
        <v>241</v>
      </c>
      <c r="E161" s="99">
        <v>0</v>
      </c>
      <c r="F161" s="337">
        <f t="dataTable" ref="F161:L168" dt2D="1" dtr="1" r1="C3" r2="C5" ca="1"/>
        <v>8.3552908974762907</v>
      </c>
      <c r="G161" s="337">
        <v>6.7337264244789816</v>
      </c>
      <c r="H161" s="156">
        <v>5.5117630074106332</v>
      </c>
      <c r="I161" s="337">
        <v>5.0127439381302246</v>
      </c>
      <c r="J161" s="337">
        <v>4.5734712333246961</v>
      </c>
      <c r="K161" s="337">
        <v>4.1851842172207609</v>
      </c>
      <c r="L161" s="337">
        <v>3.8406052965608994</v>
      </c>
      <c r="N161" s="336"/>
      <c r="O161" s="338">
        <v>0.7</v>
      </c>
      <c r="P161" s="337">
        <v>2.5611306203502391</v>
      </c>
      <c r="Q161" s="337">
        <v>2.8308504685157896</v>
      </c>
      <c r="R161" s="337">
        <v>3.1005703166813401</v>
      </c>
      <c r="S161" s="337">
        <v>3.3702901648468893</v>
      </c>
      <c r="T161" s="337">
        <v>3.6400100130124398</v>
      </c>
      <c r="U161" s="337">
        <v>3.9097298611779894</v>
      </c>
      <c r="V161" s="337">
        <v>4.1794497093435394</v>
      </c>
      <c r="Y161" s="67"/>
    </row>
    <row r="162" spans="1:25">
      <c r="A162" s="68"/>
      <c r="B162" s="332"/>
      <c r="C162" s="332"/>
      <c r="D162" s="336"/>
      <c r="E162" s="340">
        <v>2.5000000000000001E-2</v>
      </c>
      <c r="F162" s="337">
        <v>8.5424164231647897</v>
      </c>
      <c r="G162" s="337">
        <v>6.8859559546688045</v>
      </c>
      <c r="H162" s="337">
        <v>5.6374194421142736</v>
      </c>
      <c r="I162" s="337">
        <v>5.1274675581637128</v>
      </c>
      <c r="J162" s="337">
        <v>4.6785268144969292</v>
      </c>
      <c r="K162" s="337">
        <v>4.2816562790231982</v>
      </c>
      <c r="L162" s="337">
        <v>3.9294278566606189</v>
      </c>
      <c r="N162" s="336"/>
      <c r="O162" s="338">
        <v>0.8</v>
      </c>
      <c r="P162" s="337">
        <v>2.8382291649264406</v>
      </c>
      <c r="Q162" s="337">
        <v>3.1772236492360411</v>
      </c>
      <c r="R162" s="337">
        <v>3.5162181335456419</v>
      </c>
      <c r="S162" s="337">
        <v>3.8552126178552428</v>
      </c>
      <c r="T162" s="337">
        <v>4.1942071021648433</v>
      </c>
      <c r="U162" s="337">
        <v>4.5332015864744433</v>
      </c>
      <c r="V162" s="337">
        <v>4.8721960707840442</v>
      </c>
      <c r="Y162" s="67"/>
    </row>
    <row r="163" spans="1:25">
      <c r="A163" s="68"/>
      <c r="B163" s="332"/>
      <c r="C163" s="332"/>
      <c r="D163" s="336"/>
      <c r="E163" s="340">
        <v>0.05</v>
      </c>
      <c r="F163" s="337">
        <v>8.7285935966742993</v>
      </c>
      <c r="G163" s="337">
        <v>7.0374763477015438</v>
      </c>
      <c r="H163" s="337">
        <v>5.7625371078792007</v>
      </c>
      <c r="I163" s="337">
        <v>5.2417190185031632</v>
      </c>
      <c r="J163" s="337">
        <v>4.7831672271339434</v>
      </c>
      <c r="K163" s="337">
        <v>4.3777621331495133</v>
      </c>
      <c r="L163" s="337">
        <v>4.0179264345195733</v>
      </c>
      <c r="N163" s="336"/>
      <c r="O163" s="338">
        <v>0.9</v>
      </c>
      <c r="P163" s="337">
        <v>3.1153277095026422</v>
      </c>
      <c r="Q163" s="337">
        <v>3.523596829956293</v>
      </c>
      <c r="R163" s="337">
        <v>3.9318659504099442</v>
      </c>
      <c r="S163" s="337">
        <v>4.3401350708635933</v>
      </c>
      <c r="T163" s="337">
        <v>4.7484041913172454</v>
      </c>
      <c r="U163" s="337">
        <v>5.1566733117708976</v>
      </c>
      <c r="V163" s="337">
        <v>5.5649424322245471</v>
      </c>
      <c r="Y163" s="67"/>
    </row>
    <row r="164" spans="1:25">
      <c r="A164" s="68"/>
      <c r="B164" s="332"/>
      <c r="C164" s="332"/>
      <c r="D164" s="336"/>
      <c r="E164" s="340">
        <v>0.1</v>
      </c>
      <c r="F164" s="337">
        <v>9.098131579238375</v>
      </c>
      <c r="G164" s="337">
        <v>7.3384094508124207</v>
      </c>
      <c r="H164" s="337">
        <v>6.0111699336865057</v>
      </c>
      <c r="I164" s="337">
        <v>5.4688170717116238</v>
      </c>
      <c r="J164" s="337">
        <v>4.9912123522647613</v>
      </c>
      <c r="K164" s="337">
        <v>4.568883527571951</v>
      </c>
      <c r="L164" s="337">
        <v>4.1939587081408831</v>
      </c>
      <c r="N164" s="336"/>
      <c r="O164" s="97">
        <v>1</v>
      </c>
      <c r="P164" s="337">
        <v>3.3924262540788432</v>
      </c>
      <c r="Q164" s="337">
        <v>3.8699700106765449</v>
      </c>
      <c r="R164" s="337">
        <v>4.3475137672742461</v>
      </c>
      <c r="S164" s="337">
        <v>4.825057523871946</v>
      </c>
      <c r="T164" s="337">
        <v>5.3026012804696485</v>
      </c>
      <c r="U164" s="337">
        <v>5.7801450370673502</v>
      </c>
      <c r="V164" s="156">
        <v>6.2576887936650509</v>
      </c>
      <c r="Y164" s="67"/>
    </row>
    <row r="165" spans="1:25">
      <c r="A165" s="68"/>
      <c r="B165" s="332"/>
      <c r="C165" s="332"/>
      <c r="D165" s="336"/>
      <c r="E165" s="340">
        <v>0.125</v>
      </c>
      <c r="F165" s="337">
        <v>9.2815065539409645</v>
      </c>
      <c r="G165" s="337">
        <v>7.4878319110683105</v>
      </c>
      <c r="H165" s="337">
        <v>6.1346919207807886</v>
      </c>
      <c r="I165" s="337">
        <v>5.5816694110166445</v>
      </c>
      <c r="J165" s="337">
        <v>5.0946219193375395</v>
      </c>
      <c r="K165" s="337">
        <v>4.6639031832632742</v>
      </c>
      <c r="L165" s="337">
        <v>4.2814959041808898</v>
      </c>
      <c r="Y165" s="67"/>
    </row>
    <row r="166" spans="1:25">
      <c r="A166" s="68"/>
      <c r="B166" s="332"/>
      <c r="C166" s="332"/>
      <c r="D166" s="336"/>
      <c r="E166" s="84">
        <v>0.15</v>
      </c>
      <c r="F166" s="337">
        <v>9.4639615095707246</v>
      </c>
      <c r="G166" s="337">
        <v>7.6365647355756625</v>
      </c>
      <c r="H166" s="337">
        <v>6.2576887936650509</v>
      </c>
      <c r="I166" s="337">
        <v>5.6940610839843568</v>
      </c>
      <c r="J166" s="337">
        <v>5.1976260274106538</v>
      </c>
      <c r="K166" s="337">
        <v>4.758564862364266</v>
      </c>
      <c r="L166" s="337">
        <v>4.3687161187674404</v>
      </c>
      <c r="Y166" s="67"/>
    </row>
    <row r="167" spans="1:25">
      <c r="A167" s="68"/>
      <c r="B167" s="332"/>
      <c r="C167" s="332"/>
      <c r="D167" s="336"/>
      <c r="E167" s="340">
        <v>0.17499999999999999</v>
      </c>
      <c r="F167" s="337">
        <v>9.645503352607653</v>
      </c>
      <c r="G167" s="337">
        <v>7.784612687699398</v>
      </c>
      <c r="H167" s="337">
        <v>6.3801638937693843</v>
      </c>
      <c r="I167" s="337">
        <v>5.8059949055483333</v>
      </c>
      <c r="J167" s="337">
        <v>5.3002270564670662</v>
      </c>
      <c r="K167" s="337">
        <v>4.8528705840303559</v>
      </c>
      <c r="L167" s="337">
        <v>4.4556210705239714</v>
      </c>
      <c r="Y167" s="67"/>
    </row>
    <row r="168" spans="1:25">
      <c r="A168" s="68"/>
      <c r="B168" s="332"/>
      <c r="C168" s="332"/>
      <c r="D168" s="336"/>
      <c r="E168" s="340">
        <v>0.2</v>
      </c>
      <c r="F168" s="337">
        <v>9.8261389205760654</v>
      </c>
      <c r="G168" s="337">
        <v>7.9319804870373112</v>
      </c>
      <c r="H168" s="337">
        <v>6.502120534234094</v>
      </c>
      <c r="I168" s="337">
        <v>5.9174736677543045</v>
      </c>
      <c r="J168" s="337">
        <v>5.4024273678992589</v>
      </c>
      <c r="K168" s="337">
        <v>4.9468223522601615</v>
      </c>
      <c r="L168" s="337">
        <v>4.5422124656721952</v>
      </c>
      <c r="Y168" s="67"/>
    </row>
    <row r="169" spans="1:25" ht="15" customHeight="1">
      <c r="A169" s="68"/>
      <c r="B169" s="332"/>
      <c r="C169" s="332"/>
      <c r="Y169" s="67"/>
    </row>
    <row r="170" spans="1:25">
      <c r="A170" s="68"/>
      <c r="B170" s="332"/>
      <c r="C170" s="332"/>
      <c r="D170" s="273"/>
      <c r="E170" s="273"/>
      <c r="F170" s="333" t="s">
        <v>242</v>
      </c>
      <c r="G170" s="333"/>
      <c r="H170" s="333"/>
      <c r="I170" s="333"/>
      <c r="J170" s="333"/>
      <c r="K170" s="333"/>
      <c r="L170" s="333"/>
      <c r="Y170" s="67"/>
    </row>
    <row r="171" spans="1:25" ht="22.5" customHeight="1">
      <c r="A171" s="68"/>
      <c r="B171" s="332"/>
      <c r="C171" s="332"/>
      <c r="E171" s="158">
        <f>C141</f>
        <v>6.2576887936650509</v>
      </c>
      <c r="F171" s="335">
        <v>0</v>
      </c>
      <c r="G171" s="335">
        <v>0.05</v>
      </c>
      <c r="H171" s="96">
        <v>0.1</v>
      </c>
      <c r="I171" s="335">
        <v>0.15</v>
      </c>
      <c r="J171" s="335">
        <v>0.2</v>
      </c>
      <c r="K171" s="335">
        <v>0.25</v>
      </c>
      <c r="L171" s="335">
        <v>0.3</v>
      </c>
      <c r="Y171" s="67"/>
    </row>
    <row r="172" spans="1:25">
      <c r="A172" s="68"/>
      <c r="B172" s="332"/>
      <c r="C172" s="332"/>
      <c r="D172" s="336" t="s">
        <v>243</v>
      </c>
      <c r="E172" s="338">
        <v>0</v>
      </c>
      <c r="F172" s="339">
        <f t="dataTable" ref="F172:L178" dt2D="1" dtr="1" r1="C9" r2="D44" ca="1"/>
        <v>5.4637920516402554</v>
      </c>
      <c r="G172" s="339">
        <v>5.550220567114863</v>
      </c>
      <c r="H172" s="339">
        <v>5.6366490825894706</v>
      </c>
      <c r="I172" s="339">
        <v>5.7230775980640782</v>
      </c>
      <c r="J172" s="339">
        <v>5.809506113538685</v>
      </c>
      <c r="K172" s="339">
        <v>5.8959346290132917</v>
      </c>
      <c r="L172" s="339">
        <v>5.9823631444879002</v>
      </c>
      <c r="Y172" s="67"/>
    </row>
    <row r="173" spans="1:25">
      <c r="A173" s="68"/>
      <c r="B173" s="332"/>
      <c r="C173" s="332"/>
      <c r="D173" s="336"/>
      <c r="E173" s="338">
        <v>0.1</v>
      </c>
      <c r="F173" s="339">
        <v>5.4637920516402554</v>
      </c>
      <c r="G173" s="337">
        <v>5.6415499363906836</v>
      </c>
      <c r="H173" s="337">
        <v>5.8193078211411118</v>
      </c>
      <c r="I173" s="337">
        <v>5.99706570589154</v>
      </c>
      <c r="J173" s="337">
        <v>6.1748235906419673</v>
      </c>
      <c r="K173" s="337">
        <v>6.3525814753923955</v>
      </c>
      <c r="L173" s="337">
        <v>6.5303393601428228</v>
      </c>
      <c r="Y173" s="67"/>
    </row>
    <row r="174" spans="1:25">
      <c r="A174" s="68"/>
      <c r="B174" s="332"/>
      <c r="C174" s="332"/>
      <c r="D174" s="336"/>
      <c r="E174" s="338">
        <v>0.25</v>
      </c>
      <c r="F174" s="339">
        <v>5.4637920516402554</v>
      </c>
      <c r="G174" s="337">
        <v>5.7785439903044145</v>
      </c>
      <c r="H174" s="337">
        <v>6.0932959289685735</v>
      </c>
      <c r="I174" s="337">
        <v>6.4080478676327317</v>
      </c>
      <c r="J174" s="337">
        <v>6.7227998062968926</v>
      </c>
      <c r="K174" s="337">
        <v>7.037551744961049</v>
      </c>
      <c r="L174" s="337">
        <v>7.3523036836252098</v>
      </c>
      <c r="Y174" s="67"/>
    </row>
    <row r="175" spans="1:25">
      <c r="A175" s="68"/>
      <c r="B175" s="332"/>
      <c r="C175" s="332"/>
      <c r="D175" s="336"/>
      <c r="E175" s="97">
        <v>0.34</v>
      </c>
      <c r="F175" s="339">
        <v>5.4637920516402554</v>
      </c>
      <c r="G175" s="337">
        <v>5.8607404226526532</v>
      </c>
      <c r="H175" s="156">
        <v>6.2576887936650509</v>
      </c>
      <c r="I175" s="337">
        <v>6.6546371646774469</v>
      </c>
      <c r="J175" s="337">
        <v>7.0515855356898447</v>
      </c>
      <c r="K175" s="337">
        <v>7.4485339067022434</v>
      </c>
      <c r="L175" s="337">
        <v>7.8454822777146385</v>
      </c>
      <c r="Y175" s="67"/>
    </row>
    <row r="176" spans="1:25">
      <c r="A176" s="68"/>
      <c r="B176" s="332"/>
      <c r="C176" s="332"/>
      <c r="D176" s="336"/>
      <c r="E176" s="338">
        <v>0.4</v>
      </c>
      <c r="F176" s="339">
        <v>5.4637920516402554</v>
      </c>
      <c r="G176" s="337">
        <v>5.9155380442181453</v>
      </c>
      <c r="H176" s="337">
        <v>6.3672840367960362</v>
      </c>
      <c r="I176" s="337">
        <v>6.8190300293739252</v>
      </c>
      <c r="J176" s="337">
        <v>7.2707760219518143</v>
      </c>
      <c r="K176" s="337">
        <v>7.722522014529706</v>
      </c>
      <c r="L176" s="337">
        <v>8.1742680071075942</v>
      </c>
      <c r="Y176" s="67"/>
    </row>
    <row r="177" spans="1:25">
      <c r="A177" s="68"/>
      <c r="B177" s="332"/>
      <c r="C177" s="332"/>
      <c r="D177" s="336"/>
      <c r="E177" s="338">
        <v>0.5</v>
      </c>
      <c r="F177" s="339">
        <v>5.4637920516402554</v>
      </c>
      <c r="G177" s="337">
        <v>6.0068674134939668</v>
      </c>
      <c r="H177" s="337">
        <v>6.5499427753476764</v>
      </c>
      <c r="I177" s="337">
        <v>7.093018137201387</v>
      </c>
      <c r="J177" s="337">
        <v>7.6360934990550984</v>
      </c>
      <c r="K177" s="337">
        <v>8.1791688609088062</v>
      </c>
      <c r="L177" s="337">
        <v>8.7222442227625177</v>
      </c>
      <c r="Y177" s="67"/>
    </row>
    <row r="178" spans="1:25">
      <c r="A178" s="68"/>
      <c r="B178" s="332"/>
      <c r="C178" s="332"/>
      <c r="D178" s="336"/>
      <c r="E178" s="338">
        <v>0.6</v>
      </c>
      <c r="F178" s="339">
        <v>5.4637920516402554</v>
      </c>
      <c r="G178" s="337">
        <v>6.0981967827697856</v>
      </c>
      <c r="H178" s="337">
        <v>6.7326015138993176</v>
      </c>
      <c r="I178" s="337">
        <v>7.3670062450288487</v>
      </c>
      <c r="J178" s="337">
        <v>8.0014109761583807</v>
      </c>
      <c r="K178" s="337">
        <v>8.6358157072879109</v>
      </c>
      <c r="L178" s="337">
        <v>9.2702204384174429</v>
      </c>
      <c r="Y178" s="67"/>
    </row>
    <row r="179" spans="1:25" ht="48" customHeight="1">
      <c r="A179" s="68"/>
      <c r="B179" s="332"/>
      <c r="C179" s="332"/>
      <c r="Y179" s="67"/>
    </row>
    <row r="180" spans="1:25" ht="15" customHeight="1">
      <c r="A180" s="68"/>
      <c r="Y180" s="67"/>
    </row>
    <row r="181" spans="1:25">
      <c r="A181" s="73"/>
      <c r="B181" s="239" t="s">
        <v>74</v>
      </c>
      <c r="C181" s="77"/>
      <c r="D181" s="74"/>
      <c r="E181" s="341" t="s">
        <v>244</v>
      </c>
      <c r="F181" s="341"/>
      <c r="G181" s="341"/>
      <c r="H181" s="341"/>
      <c r="I181" s="341"/>
      <c r="J181" s="341"/>
      <c r="K181" s="341"/>
      <c r="L181" s="341"/>
      <c r="M181" s="74"/>
      <c r="N181" s="74"/>
      <c r="O181" s="74"/>
      <c r="P181" s="74"/>
      <c r="Q181" s="74"/>
      <c r="R181" s="74"/>
      <c r="S181" s="74"/>
      <c r="T181" s="74"/>
      <c r="U181" s="74"/>
      <c r="V181" s="74"/>
      <c r="W181" s="74"/>
      <c r="X181" s="74"/>
      <c r="Y181" s="75"/>
    </row>
    <row r="183" spans="1:25">
      <c r="D183" s="24"/>
      <c r="E183" s="24"/>
      <c r="F183" s="24"/>
      <c r="G183" s="24"/>
      <c r="H183" s="24"/>
      <c r="I183" s="24"/>
      <c r="J183" s="24"/>
      <c r="K183" s="24"/>
      <c r="L183" s="24"/>
      <c r="M183" s="24"/>
      <c r="N183" s="24"/>
    </row>
    <row r="184" spans="1:25">
      <c r="D184" s="24"/>
      <c r="E184" s="24"/>
      <c r="F184" s="24"/>
      <c r="G184" s="24"/>
      <c r="H184" s="24"/>
      <c r="I184" s="24"/>
      <c r="J184" s="24"/>
      <c r="K184" s="24"/>
      <c r="L184" s="24"/>
      <c r="M184" s="24"/>
      <c r="N184" s="24"/>
    </row>
    <row r="185" spans="1:25">
      <c r="D185" s="24"/>
      <c r="E185" s="85"/>
      <c r="F185" s="342"/>
      <c r="G185" s="342"/>
      <c r="H185" s="342"/>
      <c r="I185" s="342"/>
      <c r="J185" s="342"/>
      <c r="K185" s="342"/>
      <c r="L185" s="342"/>
      <c r="M185" s="24"/>
      <c r="N185" s="24"/>
    </row>
    <row r="186" spans="1:25">
      <c r="D186" s="24"/>
      <c r="E186" s="86"/>
      <c r="F186" s="343"/>
      <c r="G186" s="343"/>
      <c r="H186" s="87"/>
      <c r="I186" s="343"/>
      <c r="J186" s="343"/>
      <c r="K186" s="343"/>
      <c r="L186" s="343"/>
      <c r="M186" s="343"/>
      <c r="N186" s="24"/>
    </row>
    <row r="187" spans="1:25">
      <c r="D187" s="344"/>
      <c r="E187" s="220"/>
      <c r="F187" s="88"/>
      <c r="G187" s="88"/>
      <c r="H187" s="88"/>
      <c r="I187" s="88"/>
      <c r="J187" s="88"/>
      <c r="K187" s="88"/>
      <c r="L187" s="88"/>
      <c r="M187" s="88"/>
      <c r="N187" s="24"/>
    </row>
    <row r="188" spans="1:25">
      <c r="D188" s="344"/>
      <c r="E188" s="220"/>
      <c r="F188" s="88"/>
      <c r="G188" s="88"/>
      <c r="H188" s="88"/>
      <c r="I188" s="88"/>
      <c r="J188" s="88"/>
      <c r="K188" s="88"/>
      <c r="L188" s="88"/>
      <c r="M188" s="88"/>
      <c r="N188" s="24"/>
    </row>
    <row r="189" spans="1:25">
      <c r="D189" s="344"/>
      <c r="E189" s="220"/>
      <c r="F189" s="88"/>
      <c r="G189" s="88"/>
      <c r="H189" s="88"/>
      <c r="I189" s="88"/>
      <c r="J189" s="88"/>
      <c r="K189" s="88"/>
      <c r="L189" s="88"/>
      <c r="M189" s="88"/>
      <c r="N189" s="24"/>
    </row>
    <row r="190" spans="1:25">
      <c r="D190" s="344"/>
      <c r="E190" s="220"/>
      <c r="F190" s="88"/>
      <c r="G190" s="88"/>
      <c r="H190" s="88"/>
      <c r="I190" s="88"/>
      <c r="J190" s="88"/>
      <c r="K190" s="88"/>
      <c r="L190" s="88"/>
      <c r="M190" s="88"/>
      <c r="N190" s="24"/>
    </row>
    <row r="191" spans="1:25">
      <c r="D191" s="344"/>
      <c r="E191" s="220"/>
      <c r="F191" s="88"/>
      <c r="G191" s="88"/>
      <c r="H191" s="88"/>
      <c r="I191" s="88"/>
      <c r="J191" s="88"/>
      <c r="K191" s="88"/>
      <c r="L191" s="88"/>
      <c r="M191" s="88"/>
      <c r="N191" s="24"/>
    </row>
    <row r="192" spans="1:25">
      <c r="D192" s="344"/>
      <c r="E192" s="89"/>
      <c r="F192" s="88"/>
      <c r="G192" s="88"/>
      <c r="H192" s="88"/>
      <c r="I192" s="88"/>
      <c r="J192" s="88"/>
      <c r="K192" s="88"/>
      <c r="L192" s="88"/>
      <c r="M192" s="88"/>
      <c r="N192" s="24"/>
    </row>
    <row r="193" spans="4:15">
      <c r="D193" s="344"/>
      <c r="E193" s="220"/>
      <c r="F193" s="88"/>
      <c r="G193" s="88"/>
      <c r="H193" s="88"/>
      <c r="I193" s="88"/>
      <c r="J193" s="88"/>
      <c r="K193" s="88"/>
      <c r="L193" s="88"/>
      <c r="M193" s="88"/>
      <c r="N193" s="24"/>
    </row>
    <row r="194" spans="4:15">
      <c r="D194" s="344"/>
      <c r="E194" s="220"/>
      <c r="F194" s="88"/>
      <c r="G194" s="88"/>
      <c r="H194" s="88"/>
      <c r="I194" s="88"/>
      <c r="J194" s="88"/>
      <c r="K194" s="88"/>
      <c r="L194" s="88"/>
      <c r="M194" s="88"/>
      <c r="N194" s="24"/>
    </row>
    <row r="195" spans="4:15">
      <c r="D195" s="344"/>
      <c r="E195" s="220"/>
      <c r="F195" s="88"/>
      <c r="G195" s="88"/>
      <c r="H195" s="88"/>
      <c r="I195" s="88"/>
      <c r="J195" s="88"/>
      <c r="K195" s="88"/>
      <c r="L195" s="88"/>
      <c r="M195" s="88"/>
      <c r="N195" s="24"/>
    </row>
    <row r="196" spans="4:15">
      <c r="D196" s="344"/>
      <c r="E196" s="220"/>
      <c r="F196" s="88"/>
      <c r="G196" s="88"/>
      <c r="H196" s="88"/>
      <c r="I196" s="88"/>
      <c r="J196" s="88"/>
      <c r="K196" s="88"/>
      <c r="L196" s="88"/>
      <c r="M196" s="88"/>
      <c r="N196" s="24"/>
    </row>
    <row r="197" spans="4:15">
      <c r="D197" s="24"/>
      <c r="E197" s="24"/>
      <c r="F197" s="24"/>
      <c r="G197" s="24"/>
      <c r="H197" s="24"/>
      <c r="I197" s="24"/>
      <c r="J197" s="24"/>
      <c r="K197" s="24"/>
      <c r="L197" s="24"/>
      <c r="M197" s="24"/>
      <c r="N197" s="24"/>
    </row>
    <row r="199" spans="4:15">
      <c r="E199" s="24"/>
      <c r="F199" s="24"/>
      <c r="G199" s="24"/>
      <c r="H199" s="24"/>
      <c r="I199" s="24"/>
      <c r="J199" s="24"/>
      <c r="K199" s="24"/>
      <c r="L199" s="24"/>
      <c r="M199" s="24"/>
      <c r="N199" s="24"/>
      <c r="O199" s="24"/>
    </row>
    <row r="200" spans="4:15">
      <c r="E200" s="24"/>
      <c r="F200" s="342"/>
      <c r="G200" s="342"/>
      <c r="H200" s="342"/>
      <c r="I200" s="342"/>
      <c r="J200" s="342"/>
      <c r="K200" s="342"/>
      <c r="L200" s="342"/>
      <c r="M200" s="24"/>
      <c r="N200" s="24"/>
      <c r="O200" s="24"/>
    </row>
    <row r="201" spans="4:15">
      <c r="D201" s="336"/>
      <c r="E201" s="24"/>
      <c r="F201" s="343"/>
      <c r="G201" s="343"/>
      <c r="H201" s="87"/>
      <c r="I201" s="343"/>
      <c r="J201" s="343"/>
      <c r="K201" s="343"/>
      <c r="L201" s="343"/>
      <c r="M201" s="343"/>
      <c r="N201" s="24"/>
      <c r="O201" s="24"/>
    </row>
    <row r="202" spans="4:15">
      <c r="D202" s="336"/>
      <c r="E202" s="24"/>
      <c r="F202" s="88"/>
      <c r="G202" s="88"/>
      <c r="H202" s="88"/>
      <c r="I202" s="88"/>
      <c r="J202" s="88"/>
      <c r="K202" s="88"/>
      <c r="L202" s="88"/>
      <c r="M202" s="88"/>
      <c r="N202" s="24"/>
      <c r="O202" s="24"/>
    </row>
    <row r="203" spans="4:15">
      <c r="D203" s="336"/>
      <c r="E203" s="24"/>
      <c r="F203" s="88"/>
      <c r="G203" s="88"/>
      <c r="H203" s="88"/>
      <c r="I203" s="88"/>
      <c r="J203" s="88"/>
      <c r="K203" s="88"/>
      <c r="L203" s="88"/>
      <c r="M203" s="88"/>
      <c r="N203" s="24"/>
      <c r="O203" s="24"/>
    </row>
    <row r="204" spans="4:15">
      <c r="D204" s="336"/>
      <c r="E204" s="24"/>
      <c r="F204" s="88"/>
      <c r="G204" s="88"/>
      <c r="H204" s="88"/>
      <c r="I204" s="88"/>
      <c r="J204" s="88"/>
      <c r="K204" s="88"/>
      <c r="L204" s="88"/>
      <c r="M204" s="88"/>
      <c r="N204" s="24"/>
      <c r="O204" s="24"/>
    </row>
    <row r="205" spans="4:15">
      <c r="D205" s="336"/>
      <c r="E205" s="24"/>
      <c r="F205" s="88"/>
      <c r="G205" s="88"/>
      <c r="H205" s="88"/>
      <c r="I205" s="88"/>
      <c r="J205" s="88"/>
      <c r="K205" s="88"/>
      <c r="L205" s="88"/>
      <c r="M205" s="88"/>
      <c r="N205" s="24"/>
      <c r="O205" s="24"/>
    </row>
    <row r="206" spans="4:15">
      <c r="D206" s="336"/>
      <c r="E206" s="24"/>
      <c r="F206" s="88"/>
      <c r="G206" s="88"/>
      <c r="H206" s="88"/>
      <c r="I206" s="88"/>
      <c r="J206" s="88"/>
      <c r="K206" s="88"/>
      <c r="L206" s="88"/>
      <c r="M206" s="88"/>
      <c r="N206" s="24"/>
      <c r="O206" s="24"/>
    </row>
    <row r="207" spans="4:15">
      <c r="D207" s="336"/>
      <c r="E207" s="24"/>
      <c r="F207" s="88"/>
      <c r="G207" s="88"/>
      <c r="H207" s="88"/>
      <c r="I207" s="88"/>
      <c r="J207" s="88"/>
      <c r="K207" s="88"/>
      <c r="L207" s="88"/>
      <c r="M207" s="88"/>
      <c r="N207" s="24"/>
      <c r="O207" s="24"/>
    </row>
    <row r="208" spans="4:15">
      <c r="D208" s="336"/>
      <c r="E208" s="24"/>
      <c r="F208" s="88"/>
      <c r="G208" s="88"/>
      <c r="H208" s="88"/>
      <c r="I208" s="88"/>
      <c r="J208" s="88"/>
      <c r="K208" s="88"/>
      <c r="L208" s="88"/>
      <c r="M208" s="88"/>
      <c r="N208" s="24"/>
      <c r="O208" s="24"/>
    </row>
    <row r="209" spans="4:15">
      <c r="D209" s="336"/>
      <c r="E209" s="24"/>
      <c r="F209" s="88"/>
      <c r="G209" s="88"/>
      <c r="H209" s="88"/>
      <c r="I209" s="88"/>
      <c r="J209" s="88"/>
      <c r="K209" s="88"/>
      <c r="L209" s="88"/>
      <c r="M209" s="88"/>
      <c r="N209" s="24"/>
      <c r="O209" s="24"/>
    </row>
    <row r="210" spans="4:15">
      <c r="E210" s="24"/>
      <c r="F210" s="24"/>
      <c r="G210" s="24"/>
      <c r="H210" s="24"/>
      <c r="I210" s="24"/>
      <c r="J210" s="24"/>
      <c r="K210" s="24"/>
      <c r="L210" s="24"/>
      <c r="M210" s="24"/>
      <c r="N210" s="24"/>
      <c r="O210" s="24"/>
    </row>
    <row r="211" spans="4:15">
      <c r="E211" s="24"/>
      <c r="F211" s="24"/>
      <c r="G211" s="24"/>
      <c r="H211" s="24"/>
      <c r="I211" s="24"/>
      <c r="J211" s="24"/>
      <c r="K211" s="24"/>
      <c r="L211" s="24"/>
      <c r="M211" s="24"/>
      <c r="N211" s="24"/>
      <c r="O211" s="24"/>
    </row>
  </sheetData>
  <sortState xmlns:xlrd2="http://schemas.microsoft.com/office/spreadsheetml/2017/richdata2" ref="R121:T121">
    <sortCondition ref="R121"/>
  </sortState>
  <mergeCells count="35">
    <mergeCell ref="D201:D207"/>
    <mergeCell ref="D208:D209"/>
    <mergeCell ref="D161:D168"/>
    <mergeCell ref="S17:S18"/>
    <mergeCell ref="B71:C71"/>
    <mergeCell ref="B106:C106"/>
    <mergeCell ref="F200:L200"/>
    <mergeCell ref="F185:L185"/>
    <mergeCell ref="D187:D196"/>
    <mergeCell ref="B21:E21"/>
    <mergeCell ref="B108:C108"/>
    <mergeCell ref="B85:B94"/>
    <mergeCell ref="B95:B99"/>
    <mergeCell ref="B100:B105"/>
    <mergeCell ref="B76:B84"/>
    <mergeCell ref="B107:C107"/>
    <mergeCell ref="B15:E15"/>
    <mergeCell ref="B52:B60"/>
    <mergeCell ref="B72:C72"/>
    <mergeCell ref="B61:B64"/>
    <mergeCell ref="B65:B69"/>
    <mergeCell ref="B44:B51"/>
    <mergeCell ref="B70:C70"/>
    <mergeCell ref="B38:E38"/>
    <mergeCell ref="B145:C179"/>
    <mergeCell ref="E181:L181"/>
    <mergeCell ref="N147:N153"/>
    <mergeCell ref="N158:N164"/>
    <mergeCell ref="P156:V156"/>
    <mergeCell ref="F170:L170"/>
    <mergeCell ref="D172:D178"/>
    <mergeCell ref="D147:D156"/>
    <mergeCell ref="F145:L145"/>
    <mergeCell ref="F159:L159"/>
    <mergeCell ref="P145:V145"/>
  </mergeCells>
  <conditionalFormatting sqref="B16:E16 B22:F22 B34:E34 B35:B36 C75:M75 D76:M108 D114:N117 I142:K142 M142">
    <cfRule type="cellIs" dxfId="10" priority="53" operator="lessThan">
      <formula>0</formula>
    </cfRule>
  </conditionalFormatting>
  <conditionalFormatting sqref="B28:F28 B121:C121">
    <cfRule type="cellIs" dxfId="9" priority="16" operator="lessThan">
      <formula>0</formula>
    </cfRule>
  </conditionalFormatting>
  <conditionalFormatting sqref="C29">
    <cfRule type="cellIs" dxfId="8" priority="1" operator="lessThan">
      <formula>0</formula>
    </cfRule>
  </conditionalFormatting>
  <conditionalFormatting sqref="C43">
    <cfRule type="cellIs" dxfId="7" priority="48" operator="lessThan">
      <formula>0</formula>
    </cfRule>
  </conditionalFormatting>
  <conditionalFormatting sqref="D121:H124">
    <cfRule type="cellIs" dxfId="6" priority="10" operator="lessThan">
      <formula>0</formula>
    </cfRule>
  </conditionalFormatting>
  <conditionalFormatting sqref="D43:M72">
    <cfRule type="cellIs" dxfId="5" priority="5" operator="lessThan">
      <formula>0</formula>
    </cfRule>
  </conditionalFormatting>
  <conditionalFormatting sqref="O43:Y43">
    <cfRule type="cellIs" dxfId="4" priority="54" operator="lessThan">
      <formula>0</formula>
    </cfRule>
  </conditionalFormatting>
  <conditionalFormatting sqref="O75:Y75">
    <cfRule type="cellIs" dxfId="3" priority="45" operator="lessThan">
      <formula>0</formula>
    </cfRule>
  </conditionalFormatting>
  <conditionalFormatting sqref="P53:Y53">
    <cfRule type="cellIs" dxfId="2" priority="62" operator="lessThan">
      <formula>0</formula>
    </cfRule>
  </conditionalFormatting>
  <conditionalFormatting sqref="P85:Y85">
    <cfRule type="cellIs" dxfId="1" priority="22" operator="lessThan">
      <formula>0</formula>
    </cfRule>
  </conditionalFormatting>
  <conditionalFormatting sqref="S16:V16">
    <cfRule type="cellIs" dxfId="0" priority="29" operator="lessThan">
      <formula>0</formula>
    </cfRule>
  </conditionalFormatting>
  <hyperlinks>
    <hyperlink ref="E29" r:id="rId1" xr:uid="{A8557A7E-42E2-462B-A9D8-B11A407F025D}"/>
    <hyperlink ref="E17" r:id="rId2" xr:uid="{D808D756-7F59-4ECA-9E4F-73F7F7D7E70F}"/>
    <hyperlink ref="E18" r:id="rId3" xr:uid="{07F57178-DA52-4DB7-A7CD-E169D1B1D6AF}"/>
    <hyperlink ref="F23" r:id="rId4" xr:uid="{A976C8E0-128C-4AA7-833B-C7AB36FF42CD}"/>
    <hyperlink ref="F24" r:id="rId5" xr:uid="{BFA01BF2-D393-49A1-9A27-6BB4A8A7950A}"/>
  </hyperlinks>
  <pageMargins left="0.7" right="0.7" top="0.78740157499999996" bottom="0.78740157499999996" header="0.3" footer="0.3"/>
  <pageSetup paperSize="9" scale="14" orientation="portrait" horizontalDpi="1200" verticalDpi="1200" r:id="rId6"/>
  <legacy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E0956-EB7E-46D4-8791-78CE065D8785}">
  <dimension ref="A1"/>
  <sheetViews>
    <sheetView showGridLines="0" topLeftCell="A61" zoomScale="115" zoomScaleNormal="115" workbookViewId="0">
      <selection activeCell="G29" sqref="G29"/>
    </sheetView>
  </sheetViews>
  <sheetFormatPr defaultColWidth="9.42578125" defaultRowHeight="14.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61670E027929440931DC4FF061F9A46" ma:contentTypeVersion="29" ma:contentTypeDescription="Ein neues Dokument erstellen." ma:contentTypeScope="" ma:versionID="0d88bc9cedf1ee999d8bb34fd8e7544b">
  <xsd:schema xmlns:xsd="http://www.w3.org/2001/XMLSchema" xmlns:xs="http://www.w3.org/2001/XMLSchema" xmlns:p="http://schemas.microsoft.com/office/2006/metadata/properties" xmlns:ns2="08b758c0-7f65-4904-9e43-345858c3c71c" xmlns:ns3="24dc8c7b-7b5d-4d41-8221-f7960f2ae5bd" targetNamespace="http://schemas.microsoft.com/office/2006/metadata/properties" ma:root="true" ma:fieldsID="980143298319afb703e608dd5fb72d34" ns2:_="" ns3:_="">
    <xsd:import namespace="08b758c0-7f65-4904-9e43-345858c3c71c"/>
    <xsd:import namespace="24dc8c7b-7b5d-4d41-8221-f7960f2ae5bd"/>
    <xsd:element name="properties">
      <xsd:complexType>
        <xsd:sequence>
          <xsd:element name="documentManagement">
            <xsd:complexType>
              <xsd:all>
                <xsd:element ref="ns2:Thematic_x0020_Focu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2:SharedWithUsers" minOccurs="0"/>
                <xsd:element ref="ns2:SharedWithDetails" minOccurs="0"/>
                <xsd:element ref="ns3:MediaServiceDateTaken" minOccurs="0"/>
                <xsd:element ref="ns3:MediaServiceLocation" minOccurs="0"/>
                <xsd:element ref="ns3:_Flow_SignoffStatus" minOccurs="0"/>
                <xsd:element ref="ns3:MediaLengthInSeconds" minOccurs="0"/>
                <xsd:element ref="ns2:TaxCatchAll" minOccurs="0"/>
                <xsd:element ref="ns3:lcf76f155ced4ddcb4097134ff3c332f" minOccurs="0"/>
                <xsd:element ref="ns3:PII"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b758c0-7f65-4904-9e43-345858c3c71c" elementFormDefault="qualified">
    <xsd:import namespace="http://schemas.microsoft.com/office/2006/documentManagement/types"/>
    <xsd:import namespace="http://schemas.microsoft.com/office/infopath/2007/PartnerControls"/>
    <xsd:element name="Thematic_x0020_Focus" ma:index="2" nillable="true" ma:displayName="Thematic Focus" ma:list="{b8d47e44-77bd-498c-a02c-fb6e3f62fb35}" ma:internalName="Thematic_x0020_Focus" ma:showField="Title" ma:web="08b758c0-7f65-4904-9e43-345858c3c71c">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0fdbe3cc-6b80-43ad-a978-0da023464680}" ma:internalName="TaxCatchAll" ma:showField="CatchAllData" ma:web="08b758c0-7f65-4904-9e43-345858c3c7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dc8c7b-7b5d-4d41-8221-f7960f2ae5bd"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Tags" ma:index="8" nillable="true" ma:displayName="Tags" ma:description="" ma:indexed="true" ma:internalName="MediaServiceAutoTags" ma:readOnly="true">
      <xsd:simpleType>
        <xsd:restriction base="dms:Text"/>
      </xsd:simpleType>
    </xsd:element>
    <xsd:element name="MediaServiceOCR" ma:index="9" nillable="true" ma:displayName="Extracted Text" ma:internalName="MediaServiceOCR" ma:readOnly="true">
      <xsd:simpleType>
        <xsd:restriction base="dms:Note">
          <xsd:maxLength value="255"/>
        </xsd:restriction>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1" nillable="true" ma:displayName="Status Unterschrift" ma:internalName="Status_x0020_Unterschrift">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9b1bd33c-51cd-473d-b064-0ba0784f6672" ma:termSetId="09814cd3-568e-fe90-9814-8d621ff8fb84" ma:anchorId="fba54fb3-c3e1-fe81-a776-ca4b69148c4d" ma:open="true" ma:isKeyword="false">
      <xsd:complexType>
        <xsd:sequence>
          <xsd:element ref="pc:Terms" minOccurs="0" maxOccurs="1"/>
        </xsd:sequence>
      </xsd:complexType>
    </xsd:element>
    <xsd:element name="PII" ma:index="26" nillable="true" ma:displayName="PII" ma:default="0" ma:format="Dropdown" ma:indexed="true" ma:internalName="PII">
      <xsd:simpleType>
        <xsd:restriction base="dms:Boolea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hematic_x0020_Focus xmlns="08b758c0-7f65-4904-9e43-345858c3c71c" xsi:nil="true"/>
    <_Flow_SignoffStatus xmlns="24dc8c7b-7b5d-4d41-8221-f7960f2ae5bd" xsi:nil="true"/>
    <TaxCatchAll xmlns="08b758c0-7f65-4904-9e43-345858c3c71c" xsi:nil="true"/>
    <lcf76f155ced4ddcb4097134ff3c332f xmlns="24dc8c7b-7b5d-4d41-8221-f7960f2ae5bd">
      <Terms xmlns="http://schemas.microsoft.com/office/infopath/2007/PartnerControls"/>
    </lcf76f155ced4ddcb4097134ff3c332f>
    <PII xmlns="24dc8c7b-7b5d-4d41-8221-f7960f2ae5bd">false</PII>
  </documentManagement>
</p:properties>
</file>

<file path=customXml/itemProps1.xml><?xml version="1.0" encoding="utf-8"?>
<ds:datastoreItem xmlns:ds="http://schemas.openxmlformats.org/officeDocument/2006/customXml" ds:itemID="{B17C3E72-E6CB-413E-81E7-23613E47D569}"/>
</file>

<file path=customXml/itemProps2.xml><?xml version="1.0" encoding="utf-8"?>
<ds:datastoreItem xmlns:ds="http://schemas.openxmlformats.org/officeDocument/2006/customXml" ds:itemID="{603D49C6-CA81-492A-863B-A86D9817FA5D}"/>
</file>

<file path=customXml/itemProps3.xml><?xml version="1.0" encoding="utf-8"?>
<ds:datastoreItem xmlns:ds="http://schemas.openxmlformats.org/officeDocument/2006/customXml" ds:itemID="{083CA661-FF88-4791-85B2-F80EA589301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Herz, Paul</dc:creator>
  <cp:keywords/>
  <dc:description/>
  <cp:lastModifiedBy>Frank, Theresa</cp:lastModifiedBy>
  <cp:revision/>
  <dcterms:created xsi:type="dcterms:W3CDTF">2021-10-12T15:11:17Z</dcterms:created>
  <dcterms:modified xsi:type="dcterms:W3CDTF">2026-07-13T14:45:52Z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0x010100861670E027929440931DC4FF061F9A46</vt:lpwstr>
  </property>
  <property fmtid="{D5CDD505-2E9C-101B-9397-08002B2CF9AE}" pid="3" name="MediaServiceImageTags">
    <vt:lpwstr/>
  </property>
  <property fmtid="{D5CDD505-2E9C-101B-9397-08002B2CF9AE}" pid="4" name="ESRI_WORKBOOK_ID">
    <vt:lpwstr>049c34937107443b872cd855936d56cb</vt:lpwstr>
  </property>
</Properties>
</file>