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drawings/drawing3.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4.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166925"/>
  <mc:AlternateContent xmlns:mc="http://schemas.openxmlformats.org/markup-compatibility/2006">
    <mc:Choice Requires="x15">
      <x15ac:absPath xmlns:x15ac="http://schemas.microsoft.com/office/spreadsheetml/2010/11/ac" url="https://herewegrow.sharepoint.com/sites/herewegrow.org/Freigegebene Dokumente/01 Projekte/01 Laufend/D_1AF01/06 MEL/01_SROI/"/>
    </mc:Choice>
  </mc:AlternateContent>
  <xr:revisionPtr revIDLastSave="541" documentId="8_{BE2F8888-7331-4A2E-9D86-8D9ACCCB7AB3}" xr6:coauthVersionLast="47" xr6:coauthVersionMax="47" xr10:uidLastSave="{5FE6BAE4-86A4-4030-AE4B-8BFB502BA7D7}"/>
  <bookViews>
    <workbookView xWindow="-120" yWindow="-120" windowWidth="29040" windowHeight="15720" xr2:uid="{D727DE2A-A20A-4F61-A634-FF4E86980CF5}"/>
  </bookViews>
  <sheets>
    <sheet name="Summary" sheetId="6" r:id="rId1"/>
    <sheet name="ToC" sheetId="8" r:id="rId2"/>
    <sheet name="Input" sheetId="5" r:id="rId3"/>
    <sheet name="SROI" sheetId="2" r:id="rId4"/>
    <sheet name="Sensitivity analysis" sheetId="9" r:id="rId5"/>
    <sheet name="Info" sheetId="7"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7" i="6" l="1"/>
  <c r="C28" i="6"/>
  <c r="D91" i="2"/>
  <c r="E73" i="2" l="1"/>
  <c r="F25" i="2"/>
  <c r="E72" i="2"/>
  <c r="F24" i="2" l="1"/>
  <c r="C57" i="5" l="1"/>
  <c r="C47" i="5"/>
  <c r="C27" i="5"/>
  <c r="G24" i="2" l="1"/>
  <c r="F72" i="2"/>
  <c r="H67" i="5"/>
  <c r="I67" i="5" s="1"/>
  <c r="C29" i="5"/>
  <c r="C26" i="5"/>
  <c r="G72" i="2" l="1"/>
  <c r="F73" i="2"/>
  <c r="H24" i="2"/>
  <c r="G25" i="2"/>
  <c r="J67" i="5"/>
  <c r="J66" i="5" s="1"/>
  <c r="I66" i="5"/>
  <c r="H66" i="5"/>
  <c r="H72" i="2" l="1"/>
  <c r="G73" i="2"/>
  <c r="I24" i="2"/>
  <c r="H25" i="2"/>
  <c r="K67" i="5"/>
  <c r="L67" i="5" s="1"/>
  <c r="I72" i="2" l="1"/>
  <c r="H73" i="2"/>
  <c r="I25" i="2"/>
  <c r="J24" i="2"/>
  <c r="K66" i="5"/>
  <c r="M67" i="5"/>
  <c r="L66" i="5"/>
  <c r="J72" i="2" l="1"/>
  <c r="I73" i="2"/>
  <c r="J25" i="2"/>
  <c r="K24" i="2"/>
  <c r="N67" i="5"/>
  <c r="M66" i="5"/>
  <c r="K72" i="2" l="1"/>
  <c r="J73" i="2"/>
  <c r="K25" i="2"/>
  <c r="L24" i="2"/>
  <c r="O67" i="5"/>
  <c r="N66" i="5"/>
  <c r="L72" i="2" l="1"/>
  <c r="K73" i="2"/>
  <c r="M24" i="2"/>
  <c r="L25" i="2"/>
  <c r="P67" i="5"/>
  <c r="O66" i="5"/>
  <c r="M72" i="2" l="1"/>
  <c r="M73" i="2" s="1"/>
  <c r="L73" i="2"/>
  <c r="N24" i="2"/>
  <c r="N25" i="2" s="1"/>
  <c r="M25" i="2"/>
  <c r="Q67" i="5"/>
  <c r="P66" i="5"/>
  <c r="R67" i="5" l="1"/>
  <c r="Q66" i="5"/>
  <c r="S67" i="5" l="1"/>
  <c r="R66" i="5"/>
  <c r="T67" i="5" l="1"/>
  <c r="T66" i="5" s="1"/>
  <c r="S66" i="5"/>
  <c r="B20" i="9" l="1"/>
  <c r="C12" i="5" l="1"/>
  <c r="E5" i="2"/>
  <c r="C76" i="5"/>
  <c r="E40" i="2" l="1"/>
  <c r="C59" i="5"/>
  <c r="F55" i="2"/>
  <c r="G55" i="2" s="1"/>
  <c r="H55" i="2" s="1"/>
  <c r="I55" i="2" s="1"/>
  <c r="J55" i="2" s="1"/>
  <c r="K55" i="2" s="1"/>
  <c r="L55" i="2" s="1"/>
  <c r="M55" i="2" s="1"/>
  <c r="G7" i="2"/>
  <c r="H7" i="2" s="1"/>
  <c r="I7" i="2" s="1"/>
  <c r="J7" i="2" s="1"/>
  <c r="K7" i="2" s="1"/>
  <c r="L7" i="2" s="1"/>
  <c r="M7" i="2" s="1"/>
  <c r="N7" i="2" s="1"/>
  <c r="G139" i="2"/>
  <c r="F139" i="2"/>
  <c r="E139" i="2"/>
  <c r="D139" i="2"/>
  <c r="F72" i="5" l="1"/>
  <c r="E68" i="5"/>
  <c r="C61" i="5" l="1"/>
  <c r="C60" i="5"/>
  <c r="F83" i="5"/>
  <c r="E83" i="5"/>
  <c r="D83" i="5"/>
  <c r="C83" i="5"/>
  <c r="C85" i="5" s="1"/>
  <c r="C87" i="5" s="1"/>
  <c r="F81" i="5"/>
  <c r="E81" i="5"/>
  <c r="D81" i="5"/>
  <c r="C58" i="5"/>
  <c r="C50" i="5"/>
  <c r="I35" i="5"/>
  <c r="C36" i="5"/>
  <c r="C37" i="5"/>
  <c r="C39" i="5"/>
  <c r="C40" i="5"/>
  <c r="F16" i="2" s="1"/>
  <c r="C42" i="5"/>
  <c r="I18" i="5"/>
  <c r="C19" i="5"/>
  <c r="I19" i="5"/>
  <c r="C20" i="5"/>
  <c r="C21" i="5" s="1"/>
  <c r="C23" i="5"/>
  <c r="C24" i="5"/>
  <c r="F81" i="2"/>
  <c r="F33" i="2"/>
  <c r="H33" i="2" s="1"/>
  <c r="O105" i="2"/>
  <c r="P106" i="2" s="1"/>
  <c r="P105" i="2"/>
  <c r="Q69" i="5"/>
  <c r="R69" i="5"/>
  <c r="S69" i="5"/>
  <c r="T69" i="5"/>
  <c r="Q73" i="5"/>
  <c r="R73" i="5"/>
  <c r="S73" i="5"/>
  <c r="T73" i="5"/>
  <c r="J74" i="2"/>
  <c r="K74" i="2"/>
  <c r="L74" i="2"/>
  <c r="M74" i="2"/>
  <c r="I74" i="2"/>
  <c r="E74" i="2"/>
  <c r="E75" i="2" s="1"/>
  <c r="E76" i="2" s="1"/>
  <c r="K26" i="2"/>
  <c r="L26" i="2"/>
  <c r="M26" i="2"/>
  <c r="N26" i="2"/>
  <c r="J26" i="2"/>
  <c r="G26" i="2"/>
  <c r="G27" i="2" s="1"/>
  <c r="F26" i="2"/>
  <c r="F27" i="2" s="1"/>
  <c r="F28" i="2" s="1"/>
  <c r="H26" i="2"/>
  <c r="C22" i="5" l="1"/>
  <c r="F85" i="5"/>
  <c r="I22" i="5"/>
  <c r="E85" i="5"/>
  <c r="D85" i="5"/>
  <c r="D87" i="5" s="1"/>
  <c r="F38" i="2"/>
  <c r="G33" i="2"/>
  <c r="G38" i="2" s="1"/>
  <c r="F83" i="2"/>
  <c r="F86" i="2"/>
  <c r="G18" i="2"/>
  <c r="H18" i="2"/>
  <c r="I18" i="2"/>
  <c r="J18" i="2"/>
  <c r="K18" i="2"/>
  <c r="L18" i="2"/>
  <c r="M18" i="2"/>
  <c r="N18" i="2"/>
  <c r="F18" i="2"/>
  <c r="G16" i="2"/>
  <c r="H16" i="2"/>
  <c r="I16" i="2"/>
  <c r="J16" i="2"/>
  <c r="K16" i="2"/>
  <c r="L16" i="2"/>
  <c r="M16" i="2"/>
  <c r="N16" i="2"/>
  <c r="I15" i="2"/>
  <c r="H15" i="2"/>
  <c r="J15" i="2"/>
  <c r="G15" i="2"/>
  <c r="K15" i="2"/>
  <c r="L15" i="2"/>
  <c r="M15" i="2"/>
  <c r="N15" i="2"/>
  <c r="F15" i="2"/>
  <c r="H81" i="2"/>
  <c r="H86" i="2" s="1"/>
  <c r="G81" i="2"/>
  <c r="D117" i="2"/>
  <c r="E103" i="2"/>
  <c r="F104" i="2" s="1"/>
  <c r="H109" i="2"/>
  <c r="I110" i="2" s="1"/>
  <c r="J111" i="2" s="1"/>
  <c r="K112" i="2" s="1"/>
  <c r="H110" i="2"/>
  <c r="I111" i="2" s="1"/>
  <c r="J112" i="2" s="1"/>
  <c r="H111" i="2"/>
  <c r="I112" i="2" s="1"/>
  <c r="H112" i="2"/>
  <c r="J105" i="2"/>
  <c r="K106" i="2" s="1"/>
  <c r="L107" i="2" s="1"/>
  <c r="M108" i="2" s="1"/>
  <c r="N109" i="2" s="1"/>
  <c r="O110" i="2" s="1"/>
  <c r="P111" i="2" s="1"/>
  <c r="K105" i="2"/>
  <c r="L106" i="2" s="1"/>
  <c r="M107" i="2" s="1"/>
  <c r="N108" i="2" s="1"/>
  <c r="O109" i="2" s="1"/>
  <c r="P110" i="2" s="1"/>
  <c r="L105" i="2"/>
  <c r="M106" i="2" s="1"/>
  <c r="N107" i="2" s="1"/>
  <c r="O108" i="2" s="1"/>
  <c r="P109" i="2" s="1"/>
  <c r="M105" i="2"/>
  <c r="N106" i="2" s="1"/>
  <c r="O107" i="2" s="1"/>
  <c r="P108" i="2" s="1"/>
  <c r="N105" i="2"/>
  <c r="O106" i="2" s="1"/>
  <c r="P107" i="2" s="1"/>
  <c r="F87" i="5" l="1"/>
  <c r="E87" i="5"/>
  <c r="G83" i="2"/>
  <c r="G86" i="2"/>
  <c r="I81" i="2"/>
  <c r="I86" i="2" s="1"/>
  <c r="H83" i="2"/>
  <c r="I33" i="2"/>
  <c r="I35" i="2" s="1"/>
  <c r="H38" i="2"/>
  <c r="E118" i="2"/>
  <c r="G105" i="2"/>
  <c r="H106" i="2" l="1"/>
  <c r="I107" i="2" s="1"/>
  <c r="J108" i="2" s="1"/>
  <c r="K109" i="2" s="1"/>
  <c r="L110" i="2" s="1"/>
  <c r="M111" i="2" s="1"/>
  <c r="N112" i="2" s="1"/>
  <c r="I83" i="2"/>
  <c r="J81" i="2"/>
  <c r="J86" i="2" s="1"/>
  <c r="I38" i="2"/>
  <c r="J33" i="2"/>
  <c r="J35" i="2" s="1"/>
  <c r="F5" i="2"/>
  <c r="G5" i="2" s="1"/>
  <c r="H5" i="2" s="1"/>
  <c r="I5" i="2" s="1"/>
  <c r="J5" i="2" s="1"/>
  <c r="K5" i="2" s="1"/>
  <c r="L5" i="2" s="1"/>
  <c r="M5" i="2" s="1"/>
  <c r="N5" i="2" s="1"/>
  <c r="F119" i="2"/>
  <c r="G120" i="2" l="1"/>
  <c r="H121" i="2" s="1"/>
  <c r="I122" i="2" s="1"/>
  <c r="J123" i="2" s="1"/>
  <c r="K124" i="2" s="1"/>
  <c r="L125" i="2" s="1"/>
  <c r="M126" i="2" s="1"/>
  <c r="J83" i="2"/>
  <c r="K81" i="2"/>
  <c r="K86" i="2" s="1"/>
  <c r="J38" i="2"/>
  <c r="K33" i="2"/>
  <c r="K35" i="2" s="1"/>
  <c r="I36" i="2"/>
  <c r="J36" i="2"/>
  <c r="K83" i="2" l="1"/>
  <c r="L81" i="2"/>
  <c r="L86" i="2" s="1"/>
  <c r="K38" i="2"/>
  <c r="L33" i="2"/>
  <c r="I66" i="2"/>
  <c r="G64" i="2"/>
  <c r="H64" i="2"/>
  <c r="K64" i="2"/>
  <c r="M64" i="2"/>
  <c r="H63" i="2"/>
  <c r="I63" i="2"/>
  <c r="J63" i="2"/>
  <c r="M63" i="2"/>
  <c r="E64" i="2"/>
  <c r="G63" i="2"/>
  <c r="L63" i="2"/>
  <c r="K66" i="2"/>
  <c r="L66" i="2"/>
  <c r="M66" i="2"/>
  <c r="E66" i="2"/>
  <c r="F64" i="2"/>
  <c r="I64" i="2"/>
  <c r="J64" i="2"/>
  <c r="L64" i="2"/>
  <c r="F63" i="2"/>
  <c r="K63" i="2"/>
  <c r="E63" i="2"/>
  <c r="J66" i="2"/>
  <c r="G66" i="2"/>
  <c r="H66" i="2"/>
  <c r="F66" i="2"/>
  <c r="M81" i="2" l="1"/>
  <c r="M86" i="2" s="1"/>
  <c r="L83" i="2"/>
  <c r="M33" i="2"/>
  <c r="L38" i="2"/>
  <c r="L35" i="2"/>
  <c r="L36" i="2"/>
  <c r="N33" i="2" l="1"/>
  <c r="N37" i="2" s="1"/>
  <c r="M35" i="2"/>
  <c r="M84" i="2"/>
  <c r="M85" i="2"/>
  <c r="M36" i="2"/>
  <c r="M38" i="2"/>
  <c r="M83" i="2"/>
  <c r="F87" i="2"/>
  <c r="F88" i="2" s="1"/>
  <c r="F140" i="2"/>
  <c r="G140" i="2"/>
  <c r="E140" i="2"/>
  <c r="D140" i="2"/>
  <c r="D141" i="2" l="1"/>
  <c r="D142" i="2" s="1"/>
  <c r="E141" i="2"/>
  <c r="E142" i="2" s="1"/>
  <c r="G141" i="2"/>
  <c r="G142" i="2" s="1"/>
  <c r="F141" i="2"/>
  <c r="F142" i="2" s="1"/>
  <c r="N38" i="2"/>
  <c r="N35" i="2"/>
  <c r="N36" i="2"/>
  <c r="C144" i="2" l="1"/>
  <c r="N39" i="2"/>
  <c r="N40" i="2" s="1"/>
  <c r="G36" i="2"/>
  <c r="G37" i="2"/>
  <c r="F36" i="2"/>
  <c r="F37" i="2"/>
  <c r="F35" i="2"/>
  <c r="G35" i="2"/>
  <c r="F89" i="2"/>
  <c r="F39" i="2" l="1"/>
  <c r="G39" i="2"/>
  <c r="K36" i="2"/>
  <c r="K37" i="2"/>
  <c r="H36" i="2"/>
  <c r="H37" i="2"/>
  <c r="J37" i="2"/>
  <c r="J39" i="2" s="1"/>
  <c r="J40" i="2" s="1"/>
  <c r="I37" i="2"/>
  <c r="I39" i="2" s="1"/>
  <c r="I40" i="2" s="1"/>
  <c r="L37" i="2"/>
  <c r="L39" i="2" s="1"/>
  <c r="L40" i="2" s="1"/>
  <c r="M37" i="2"/>
  <c r="M39" i="2" s="1"/>
  <c r="M40" i="2" s="1"/>
  <c r="H35" i="2"/>
  <c r="G40" i="2" l="1"/>
  <c r="G41" i="2" s="1"/>
  <c r="G42" i="2" s="1"/>
  <c r="F40" i="2"/>
  <c r="F41" i="2" s="1"/>
  <c r="F42" i="2" s="1"/>
  <c r="K39" i="2"/>
  <c r="H39" i="2"/>
  <c r="I87" i="2"/>
  <c r="H87" i="2"/>
  <c r="G87" i="2"/>
  <c r="G88" i="2" s="1"/>
  <c r="M87" i="2"/>
  <c r="M88" i="2" s="1"/>
  <c r="L87" i="2"/>
  <c r="L88" i="2" s="1"/>
  <c r="J87" i="2"/>
  <c r="J88" i="2" s="1"/>
  <c r="K87" i="2"/>
  <c r="K88" i="2" s="1"/>
  <c r="M41" i="2"/>
  <c r="M42" i="2" s="1"/>
  <c r="L41" i="2"/>
  <c r="L42" i="2" s="1"/>
  <c r="I41" i="2"/>
  <c r="I42" i="2" s="1"/>
  <c r="I88" i="2" l="1"/>
  <c r="I89" i="2" s="1"/>
  <c r="H88" i="2"/>
  <c r="H89" i="2" s="1"/>
  <c r="H40" i="2"/>
  <c r="H41" i="2" s="1"/>
  <c r="H42" i="2" s="1"/>
  <c r="K40" i="2"/>
  <c r="K41" i="2" s="1"/>
  <c r="K42" i="2" s="1"/>
  <c r="G89" i="2"/>
  <c r="M89" i="2"/>
  <c r="K89" i="2"/>
  <c r="L89" i="2"/>
  <c r="J89" i="2"/>
  <c r="N41" i="2"/>
  <c r="N42" i="2" s="1"/>
  <c r="J41" i="2"/>
  <c r="J42" i="2" s="1"/>
  <c r="G69" i="5"/>
  <c r="F69" i="5"/>
  <c r="G68" i="5" l="1"/>
  <c r="D107" i="2"/>
  <c r="H126" i="2" l="1"/>
  <c r="H125" i="2"/>
  <c r="I126" i="2" s="1"/>
  <c r="H124" i="2"/>
  <c r="I125" i="2" s="1"/>
  <c r="J126" i="2" s="1"/>
  <c r="H123" i="2"/>
  <c r="I124" i="2" s="1"/>
  <c r="J125" i="2" s="1"/>
  <c r="K126" i="2" s="1"/>
  <c r="H122" i="2"/>
  <c r="F120" i="2"/>
  <c r="E120" i="2"/>
  <c r="D120" i="2"/>
  <c r="M119" i="2"/>
  <c r="L119" i="2"/>
  <c r="M120" i="2" s="1"/>
  <c r="K119" i="2"/>
  <c r="L120" i="2" s="1"/>
  <c r="M121" i="2" s="1"/>
  <c r="J119" i="2"/>
  <c r="K120" i="2" s="1"/>
  <c r="L121" i="2" s="1"/>
  <c r="M122" i="2" s="1"/>
  <c r="E119" i="2"/>
  <c r="D119" i="2"/>
  <c r="D118" i="2"/>
  <c r="E117" i="2" l="1"/>
  <c r="I123" i="2"/>
  <c r="J124" i="2" s="1"/>
  <c r="K125" i="2" s="1"/>
  <c r="L126" i="2" s="1"/>
  <c r="G107" i="2"/>
  <c r="H108" i="2" s="1"/>
  <c r="I109" i="2" s="1"/>
  <c r="J110" i="2" s="1"/>
  <c r="K111" i="2" s="1"/>
  <c r="L112" i="2" s="1"/>
  <c r="F107" i="2"/>
  <c r="E107" i="2"/>
  <c r="G106" i="2"/>
  <c r="F106" i="2"/>
  <c r="E106" i="2"/>
  <c r="D106" i="2"/>
  <c r="F105" i="2"/>
  <c r="E105" i="2"/>
  <c r="D105" i="2"/>
  <c r="D104" i="2"/>
  <c r="H107" i="2" l="1"/>
  <c r="I108" i="2" s="1"/>
  <c r="J109" i="2" s="1"/>
  <c r="I84" i="5"/>
  <c r="F103" i="2"/>
  <c r="G104" i="2" s="1"/>
  <c r="F118" i="2"/>
  <c r="F117" i="2" l="1"/>
  <c r="G118" i="2" s="1"/>
  <c r="G119" i="2"/>
  <c r="G103" i="2"/>
  <c r="H105" i="2"/>
  <c r="I106" i="2" s="1"/>
  <c r="J107" i="2" s="1"/>
  <c r="K108" i="2" s="1"/>
  <c r="L109" i="2" s="1"/>
  <c r="M110" i="2" s="1"/>
  <c r="N111" i="2" s="1"/>
  <c r="O112" i="2" s="1"/>
  <c r="K110" i="2"/>
  <c r="L111" i="2" s="1"/>
  <c r="M112" i="2" s="1"/>
  <c r="H120" i="2" l="1"/>
  <c r="I121" i="2" s="1"/>
  <c r="J122" i="2" s="1"/>
  <c r="K123" i="2" s="1"/>
  <c r="L124" i="2" s="1"/>
  <c r="M125" i="2" s="1"/>
  <c r="I83" i="5"/>
  <c r="H104" i="2"/>
  <c r="I105" i="2" s="1"/>
  <c r="J106" i="2" s="1"/>
  <c r="K107" i="2" s="1"/>
  <c r="L108" i="2" s="1"/>
  <c r="M109" i="2" s="1"/>
  <c r="N110" i="2" s="1"/>
  <c r="O111" i="2" s="1"/>
  <c r="P112" i="2" s="1"/>
  <c r="G117" i="2" l="1"/>
  <c r="I81" i="5" s="1"/>
  <c r="I82" i="5"/>
  <c r="H119" i="2"/>
  <c r="I120" i="2" s="1"/>
  <c r="J121" i="2" s="1"/>
  <c r="K122" i="2" s="1"/>
  <c r="L123" i="2" s="1"/>
  <c r="M124" i="2" s="1"/>
  <c r="J83" i="5" l="1"/>
  <c r="J82" i="5"/>
  <c r="I87" i="5"/>
  <c r="C145" i="2" s="1"/>
  <c r="J81" i="5"/>
  <c r="I85" i="5"/>
  <c r="J85" i="5" s="1"/>
  <c r="J84" i="5"/>
  <c r="H118" i="2"/>
  <c r="I119" i="2" s="1"/>
  <c r="J120" i="2" s="1"/>
  <c r="K121" i="2" s="1"/>
  <c r="L122" i="2" s="1"/>
  <c r="M123" i="2" s="1"/>
  <c r="H142" i="2" l="1"/>
  <c r="I142" i="2"/>
  <c r="E8" i="2"/>
  <c r="M90" i="2"/>
  <c r="L90" i="2"/>
  <c r="K90" i="2"/>
  <c r="J90" i="2"/>
  <c r="I90" i="2"/>
  <c r="H90" i="2"/>
  <c r="G90" i="2"/>
  <c r="F90" i="2"/>
  <c r="M75" i="2"/>
  <c r="M76" i="2" s="1"/>
  <c r="L75" i="2"/>
  <c r="L76" i="2" s="1"/>
  <c r="K75" i="2"/>
  <c r="J75" i="2"/>
  <c r="I75" i="2"/>
  <c r="H74" i="2"/>
  <c r="H75" i="2" s="1"/>
  <c r="G74" i="2"/>
  <c r="G75" i="2" s="1"/>
  <c r="F74" i="2"/>
  <c r="F75" i="2" s="1"/>
  <c r="H27" i="2"/>
  <c r="I26" i="2"/>
  <c r="I27" i="2" s="1"/>
  <c r="J27" i="2"/>
  <c r="K27" i="2"/>
  <c r="L27" i="2"/>
  <c r="M27" i="2"/>
  <c r="M28" i="2" s="1"/>
  <c r="N27" i="2"/>
  <c r="N28" i="2" s="1"/>
  <c r="G28" i="2"/>
  <c r="H73" i="5"/>
  <c r="I73" i="5"/>
  <c r="J73" i="5"/>
  <c r="K73" i="5"/>
  <c r="L73" i="5"/>
  <c r="L72" i="5" s="1"/>
  <c r="M73" i="5"/>
  <c r="N73" i="5"/>
  <c r="O73" i="5"/>
  <c r="P73" i="5"/>
  <c r="G73" i="5"/>
  <c r="J72" i="5" l="1"/>
  <c r="F6" i="2"/>
  <c r="E6" i="2"/>
  <c r="H72" i="5"/>
  <c r="I72" i="5"/>
  <c r="K72" i="5"/>
  <c r="F29" i="2"/>
  <c r="F30" i="2" s="1"/>
  <c r="G72" i="5"/>
  <c r="C146" i="2"/>
  <c r="I76" i="2"/>
  <c r="J28" i="2"/>
  <c r="J76" i="2"/>
  <c r="L28" i="2"/>
  <c r="K76" i="2"/>
  <c r="F76" i="2"/>
  <c r="H76" i="2"/>
  <c r="G76" i="2"/>
  <c r="I28" i="2"/>
  <c r="H28" i="2"/>
  <c r="K28" i="2"/>
  <c r="N29" i="2"/>
  <c r="N30" i="2" s="1"/>
  <c r="M29" i="2"/>
  <c r="M30" i="2" s="1"/>
  <c r="L77" i="2"/>
  <c r="M77" i="2"/>
  <c r="E77" i="2"/>
  <c r="F8" i="2"/>
  <c r="G70" i="5"/>
  <c r="G71" i="5" s="1"/>
  <c r="F70" i="5"/>
  <c r="F71" i="5" s="1"/>
  <c r="E70" i="5"/>
  <c r="E71" i="5" s="1"/>
  <c r="E78" i="2" l="1"/>
  <c r="E79" i="2" s="1"/>
  <c r="E80" i="2" s="1"/>
  <c r="M78" i="2"/>
  <c r="M79" i="2" s="1"/>
  <c r="M80" i="2" s="1"/>
  <c r="L78" i="2"/>
  <c r="L79" i="2" s="1"/>
  <c r="L80" i="2" s="1"/>
  <c r="F77" i="2"/>
  <c r="G77" i="2"/>
  <c r="J29" i="2"/>
  <c r="H29" i="2"/>
  <c r="C147" i="2"/>
  <c r="C48" i="6" s="1"/>
  <c r="C69" i="6"/>
  <c r="I29" i="2"/>
  <c r="K29" i="2"/>
  <c r="L29" i="2"/>
  <c r="K77" i="2"/>
  <c r="H77" i="2"/>
  <c r="J77" i="2"/>
  <c r="H71" i="5"/>
  <c r="I77" i="2"/>
  <c r="N31" i="2"/>
  <c r="M31" i="2"/>
  <c r="J30" i="2" l="1"/>
  <c r="J31" i="2" s="1"/>
  <c r="H78" i="2"/>
  <c r="H79" i="2" s="1"/>
  <c r="H80" i="2" s="1"/>
  <c r="G78" i="2"/>
  <c r="G79" i="2" s="1"/>
  <c r="G80" i="2" s="1"/>
  <c r="K30" i="2"/>
  <c r="K31" i="2" s="1"/>
  <c r="H30" i="2"/>
  <c r="H31" i="2" s="1"/>
  <c r="F78" i="2"/>
  <c r="F79" i="2" s="1"/>
  <c r="F80" i="2" s="1"/>
  <c r="I30" i="2"/>
  <c r="I31" i="2" s="1"/>
  <c r="J78" i="2"/>
  <c r="J79" i="2" s="1"/>
  <c r="J80" i="2" s="1"/>
  <c r="K78" i="2"/>
  <c r="K79" i="2" s="1"/>
  <c r="K80" i="2" s="1"/>
  <c r="L30" i="2"/>
  <c r="L31" i="2" s="1"/>
  <c r="I78" i="2"/>
  <c r="I79" i="2" s="1"/>
  <c r="I80" i="2" s="1"/>
  <c r="I71" i="5"/>
  <c r="I70" i="5" s="1"/>
  <c r="J71" i="5"/>
  <c r="J70" i="5" s="1"/>
  <c r="Q71" i="5"/>
  <c r="R71" i="5"/>
  <c r="S71" i="5"/>
  <c r="T71" i="5"/>
  <c r="L71" i="5"/>
  <c r="L70" i="5" s="1"/>
  <c r="M71" i="5"/>
  <c r="N71" i="5"/>
  <c r="H70" i="5"/>
  <c r="P71" i="5"/>
  <c r="K71" i="5"/>
  <c r="K70" i="5" s="1"/>
  <c r="O71" i="5"/>
  <c r="F31" i="2"/>
  <c r="F32" i="2" s="1"/>
  <c r="D67" i="5"/>
  <c r="L69" i="5"/>
  <c r="E67" i="5"/>
  <c r="L68" i="5" l="1"/>
  <c r="F68" i="5"/>
  <c r="H69" i="5"/>
  <c r="N69" i="5"/>
  <c r="I69" i="5"/>
  <c r="P69" i="5"/>
  <c r="O69" i="5"/>
  <c r="M69" i="5"/>
  <c r="K69" i="5"/>
  <c r="J69" i="5"/>
  <c r="K17" i="2" l="1"/>
  <c r="K19" i="2" s="1"/>
  <c r="K20" i="2" s="1"/>
  <c r="J65" i="2"/>
  <c r="J67" i="2" s="1"/>
  <c r="J68" i="2" s="1"/>
  <c r="E65" i="2"/>
  <c r="E67" i="2" s="1"/>
  <c r="E68" i="2" s="1"/>
  <c r="L65" i="2"/>
  <c r="L67" i="2" s="1"/>
  <c r="L68" i="2" s="1"/>
  <c r="J68" i="5"/>
  <c r="H68" i="5"/>
  <c r="K68" i="5"/>
  <c r="I68" i="5"/>
  <c r="H17" i="2" l="1"/>
  <c r="H19" i="2" s="1"/>
  <c r="H20" i="2" s="1"/>
  <c r="L17" i="2"/>
  <c r="L19" i="2" s="1"/>
  <c r="L20" i="2" s="1"/>
  <c r="I17" i="2"/>
  <c r="I19" i="2" s="1"/>
  <c r="I20" i="2" s="1"/>
  <c r="N17" i="2"/>
  <c r="N19" i="2" s="1"/>
  <c r="N20" i="2" s="1"/>
  <c r="J17" i="2"/>
  <c r="J19" i="2" s="1"/>
  <c r="J20" i="2" s="1"/>
  <c r="G17" i="2"/>
  <c r="G19" i="2" s="1"/>
  <c r="G20" i="2" s="1"/>
  <c r="M17" i="2"/>
  <c r="M19" i="2" s="1"/>
  <c r="M20" i="2" s="1"/>
  <c r="I65" i="2"/>
  <c r="I67" i="2" s="1"/>
  <c r="I68" i="2" s="1"/>
  <c r="G65" i="2"/>
  <c r="G67" i="2" s="1"/>
  <c r="G68" i="2" s="1"/>
  <c r="M65" i="2"/>
  <c r="M67" i="2" s="1"/>
  <c r="M68" i="2" s="1"/>
  <c r="H65" i="2"/>
  <c r="H67" i="2" s="1"/>
  <c r="H68" i="2" s="1"/>
  <c r="K65" i="2"/>
  <c r="K67" i="2" s="1"/>
  <c r="K68" i="2" s="1"/>
  <c r="F65" i="2"/>
  <c r="F67" i="2" s="1"/>
  <c r="F68" i="2" s="1"/>
  <c r="F17" i="2"/>
  <c r="F19" i="2" s="1"/>
  <c r="F20" i="2" l="1"/>
  <c r="F21" i="2" s="1"/>
  <c r="F69" i="2"/>
  <c r="E69" i="2"/>
  <c r="E70" i="2" s="1"/>
  <c r="K21" i="2"/>
  <c r="L69" i="2"/>
  <c r="G21" i="2"/>
  <c r="K69" i="2"/>
  <c r="J69" i="2"/>
  <c r="N21" i="2"/>
  <c r="M69" i="2"/>
  <c r="G69" i="2"/>
  <c r="J21" i="2"/>
  <c r="M21" i="2"/>
  <c r="H21" i="2"/>
  <c r="L21" i="2"/>
  <c r="I21" i="2"/>
  <c r="I69" i="2"/>
  <c r="H69" i="2"/>
  <c r="G8" i="2"/>
  <c r="M94" i="5"/>
  <c r="C67" i="5"/>
  <c r="F67" i="5"/>
  <c r="G67" i="5"/>
  <c r="F9" i="2" l="1"/>
  <c r="M70" i="5"/>
  <c r="M72" i="5"/>
  <c r="E9" i="2"/>
  <c r="E11" i="2" s="1"/>
  <c r="E12" i="2" s="1"/>
  <c r="F70" i="2"/>
  <c r="L70" i="2"/>
  <c r="J70" i="2"/>
  <c r="K70" i="2"/>
  <c r="G70" i="2"/>
  <c r="H70" i="2"/>
  <c r="M70" i="2"/>
  <c r="I70" i="2"/>
  <c r="F22" i="2"/>
  <c r="H8" i="2"/>
  <c r="N94" i="5"/>
  <c r="M68" i="5"/>
  <c r="F10" i="2" l="1"/>
  <c r="L56" i="2"/>
  <c r="E56" i="2"/>
  <c r="D56" i="2"/>
  <c r="N70" i="5"/>
  <c r="N72" i="5"/>
  <c r="E13" i="2"/>
  <c r="E43" i="2"/>
  <c r="M56" i="2"/>
  <c r="F56" i="2"/>
  <c r="G56" i="2"/>
  <c r="H56" i="2"/>
  <c r="I56" i="2"/>
  <c r="J56" i="2"/>
  <c r="K56" i="2"/>
  <c r="I8" i="2"/>
  <c r="O94" i="5"/>
  <c r="N68" i="5"/>
  <c r="E53" i="2" l="1"/>
  <c r="F53" i="2" s="1"/>
  <c r="G53" i="2" s="1"/>
  <c r="H53" i="2" s="1"/>
  <c r="I53" i="2" s="1"/>
  <c r="J53" i="2" s="1"/>
  <c r="K53" i="2" s="1"/>
  <c r="L53" i="2" s="1"/>
  <c r="M53" i="2" s="1"/>
  <c r="D53" i="2"/>
  <c r="D57" i="2" s="1"/>
  <c r="O70" i="5"/>
  <c r="O72" i="5"/>
  <c r="E14" i="2"/>
  <c r="J8" i="2"/>
  <c r="P94" i="5"/>
  <c r="Q94" i="5" s="1"/>
  <c r="O68" i="5"/>
  <c r="C14" i="6"/>
  <c r="E58" i="2" l="1"/>
  <c r="E57" i="2"/>
  <c r="D54" i="2"/>
  <c r="Q70" i="5"/>
  <c r="Q72" i="5"/>
  <c r="Q68" i="5"/>
  <c r="R94" i="5"/>
  <c r="P70" i="5"/>
  <c r="P72" i="5"/>
  <c r="K8" i="2"/>
  <c r="P68" i="5"/>
  <c r="D59" i="2" l="1"/>
  <c r="D60" i="2" s="1"/>
  <c r="F57" i="2"/>
  <c r="R70" i="5"/>
  <c r="R72" i="5"/>
  <c r="R68" i="5"/>
  <c r="S94" i="5"/>
  <c r="L8" i="2"/>
  <c r="D61" i="2" l="1"/>
  <c r="S70" i="5"/>
  <c r="S72" i="5"/>
  <c r="S68" i="5"/>
  <c r="T94" i="5"/>
  <c r="H6" i="2"/>
  <c r="E54" i="2"/>
  <c r="E59" i="2" s="1"/>
  <c r="E60" i="2" s="1"/>
  <c r="G57" i="2"/>
  <c r="M8" i="2"/>
  <c r="D62" i="2" l="1"/>
  <c r="D93" i="2" s="1"/>
  <c r="D132" i="2" s="1"/>
  <c r="D92" i="2"/>
  <c r="T70" i="5"/>
  <c r="T72" i="5"/>
  <c r="T68" i="5"/>
  <c r="F11" i="2"/>
  <c r="G9" i="2"/>
  <c r="G10" i="2"/>
  <c r="G6" i="2"/>
  <c r="E91" i="2"/>
  <c r="G58" i="2"/>
  <c r="F54" i="2"/>
  <c r="F58" i="2"/>
  <c r="G54" i="2"/>
  <c r="H9" i="2"/>
  <c r="H10" i="2"/>
  <c r="I6" i="2"/>
  <c r="F43" i="2" l="1"/>
  <c r="F12" i="2"/>
  <c r="F13" i="2" s="1"/>
  <c r="F44" i="2" s="1"/>
  <c r="N8" i="2"/>
  <c r="G11" i="2"/>
  <c r="E61" i="2"/>
  <c r="E92" i="2" s="1"/>
  <c r="F59" i="2"/>
  <c r="F60" i="2" s="1"/>
  <c r="H57" i="2"/>
  <c r="H58" i="2"/>
  <c r="G59" i="2"/>
  <c r="G60" i="2" s="1"/>
  <c r="H54" i="2"/>
  <c r="I9" i="2"/>
  <c r="I10" i="2"/>
  <c r="H11" i="2"/>
  <c r="J6" i="2"/>
  <c r="H43" i="2" l="1"/>
  <c r="H12" i="2"/>
  <c r="H13" i="2" s="1"/>
  <c r="H44" i="2" s="1"/>
  <c r="G12" i="2"/>
  <c r="G13" i="2" s="1"/>
  <c r="G14" i="2" s="1"/>
  <c r="F14" i="2"/>
  <c r="G91" i="2"/>
  <c r="G61" i="2"/>
  <c r="G92" i="2" s="1"/>
  <c r="F91" i="2"/>
  <c r="F61" i="2"/>
  <c r="F92" i="2" s="1"/>
  <c r="E62" i="2"/>
  <c r="E93" i="2" s="1"/>
  <c r="E132" i="2" s="1"/>
  <c r="H59" i="2"/>
  <c r="I57" i="2"/>
  <c r="I58" i="2"/>
  <c r="I54" i="2"/>
  <c r="J9" i="2"/>
  <c r="J10" i="2"/>
  <c r="I11" i="2"/>
  <c r="K6" i="2"/>
  <c r="H91" i="2" l="1"/>
  <c r="H60" i="2"/>
  <c r="H61" i="2" s="1"/>
  <c r="H92" i="2" s="1"/>
  <c r="I43" i="2"/>
  <c r="I12" i="2"/>
  <c r="I13" i="2" s="1"/>
  <c r="I44" i="2" s="1"/>
  <c r="F45" i="2"/>
  <c r="G62" i="2"/>
  <c r="G93" i="2" s="1"/>
  <c r="F62" i="2"/>
  <c r="F93" i="2" s="1"/>
  <c r="F132" i="2" s="1"/>
  <c r="J57" i="2"/>
  <c r="J58" i="2"/>
  <c r="I59" i="2"/>
  <c r="J54" i="2"/>
  <c r="H14" i="2"/>
  <c r="K9" i="2"/>
  <c r="K10" i="2"/>
  <c r="J11" i="2"/>
  <c r="L6" i="2"/>
  <c r="G132" i="2" l="1"/>
  <c r="I91" i="2"/>
  <c r="I60" i="2"/>
  <c r="I61" i="2" s="1"/>
  <c r="I92" i="2" s="1"/>
  <c r="J43" i="2"/>
  <c r="J12" i="2"/>
  <c r="J13" i="2" s="1"/>
  <c r="J44" i="2" s="1"/>
  <c r="H62" i="2"/>
  <c r="H93" i="2" s="1"/>
  <c r="H132" i="2" s="1"/>
  <c r="K57" i="2"/>
  <c r="K58" i="2"/>
  <c r="J59" i="2"/>
  <c r="K54" i="2"/>
  <c r="I14" i="2"/>
  <c r="L9" i="2"/>
  <c r="L10" i="2"/>
  <c r="K11" i="2"/>
  <c r="M6" i="2"/>
  <c r="J91" i="2" l="1"/>
  <c r="J60" i="2"/>
  <c r="J61" i="2" s="1"/>
  <c r="J92" i="2" s="1"/>
  <c r="K43" i="2"/>
  <c r="K12" i="2"/>
  <c r="K13" i="2" s="1"/>
  <c r="K44" i="2" s="1"/>
  <c r="I62" i="2"/>
  <c r="I93" i="2" s="1"/>
  <c r="I132" i="2" s="1"/>
  <c r="L57" i="2"/>
  <c r="L58" i="2"/>
  <c r="K59" i="2"/>
  <c r="L54" i="2"/>
  <c r="J14" i="2"/>
  <c r="M9" i="2"/>
  <c r="M10" i="2"/>
  <c r="L11" i="2"/>
  <c r="K91" i="2" l="1"/>
  <c r="K60" i="2"/>
  <c r="K61" i="2" s="1"/>
  <c r="K92" i="2" s="1"/>
  <c r="L43" i="2"/>
  <c r="L12" i="2"/>
  <c r="L13" i="2" s="1"/>
  <c r="L44" i="2" s="1"/>
  <c r="J62" i="2"/>
  <c r="J93" i="2" s="1"/>
  <c r="J132" i="2" s="1"/>
  <c r="M57" i="2"/>
  <c r="M58" i="2"/>
  <c r="L59" i="2"/>
  <c r="L91" i="2" s="1"/>
  <c r="M54" i="2"/>
  <c r="K14" i="2"/>
  <c r="N10" i="2"/>
  <c r="N6" i="2"/>
  <c r="M11" i="2"/>
  <c r="N9" i="2"/>
  <c r="L60" i="2" l="1"/>
  <c r="L61" i="2" s="1"/>
  <c r="L92" i="2" s="1"/>
  <c r="M43" i="2"/>
  <c r="M12" i="2"/>
  <c r="M13" i="2" s="1"/>
  <c r="M44" i="2" s="1"/>
  <c r="K62" i="2"/>
  <c r="K93" i="2" s="1"/>
  <c r="K132" i="2" s="1"/>
  <c r="M59" i="2"/>
  <c r="L14" i="2"/>
  <c r="N11" i="2"/>
  <c r="M91" i="2" l="1"/>
  <c r="M60" i="2"/>
  <c r="M61" i="2" s="1"/>
  <c r="M92" i="2" s="1"/>
  <c r="N43" i="2"/>
  <c r="N12" i="2"/>
  <c r="N13" i="2" s="1"/>
  <c r="N44" i="2" s="1"/>
  <c r="L62" i="2"/>
  <c r="L93" i="2" s="1"/>
  <c r="L132" i="2" s="1"/>
  <c r="M14" i="2"/>
  <c r="E41" i="2"/>
  <c r="E44" i="2" s="1"/>
  <c r="E42" i="2" l="1"/>
  <c r="M62" i="2"/>
  <c r="M93" i="2" s="1"/>
  <c r="M132" i="2" s="1"/>
  <c r="N14" i="2"/>
  <c r="C153" i="2" l="1"/>
  <c r="G55" i="6"/>
  <c r="E45" i="2"/>
  <c r="F131" i="2" s="1"/>
  <c r="E131" i="2" l="1"/>
  <c r="G53" i="6"/>
  <c r="G54" i="6"/>
  <c r="G51" i="6"/>
  <c r="G52" i="6"/>
  <c r="D133" i="2"/>
  <c r="D95" i="2"/>
  <c r="G29" i="2"/>
  <c r="G30" i="2" s="1"/>
  <c r="G43" i="2" l="1"/>
  <c r="C157" i="2" s="1"/>
  <c r="G31" i="2"/>
  <c r="G44" i="2" s="1"/>
  <c r="G22" i="2" l="1"/>
  <c r="H22" i="2" l="1"/>
  <c r="I22" i="2" l="1"/>
  <c r="J22" i="2" l="1"/>
  <c r="K22" i="2" l="1"/>
  <c r="I32" i="2"/>
  <c r="I45" i="2" s="1"/>
  <c r="K32" i="2"/>
  <c r="N32" i="2"/>
  <c r="J32" i="2"/>
  <c r="J45" i="2" s="1"/>
  <c r="L32" i="2"/>
  <c r="M32" i="2"/>
  <c r="K45" i="2" l="1"/>
  <c r="K131" i="2" s="1"/>
  <c r="L22" i="2"/>
  <c r="L45" i="2" s="1"/>
  <c r="G32" i="2"/>
  <c r="H32" i="2"/>
  <c r="L131" i="2" l="1"/>
  <c r="G45" i="2"/>
  <c r="G131" i="2" s="1"/>
  <c r="H45" i="2"/>
  <c r="M22" i="2"/>
  <c r="M45" i="2" s="1"/>
  <c r="M131" i="2" s="1"/>
  <c r="H131" i="2" l="1"/>
  <c r="I131" i="2"/>
  <c r="J131" i="2"/>
  <c r="N22" i="2"/>
  <c r="N45" i="2" l="1"/>
  <c r="F55" i="6" l="1"/>
  <c r="F53" i="6" s="1"/>
  <c r="P131" i="2"/>
  <c r="P133" i="2" s="1"/>
  <c r="O131" i="2"/>
  <c r="O133" i="2" s="1"/>
  <c r="N131" i="2"/>
  <c r="G133" i="2"/>
  <c r="F133" i="2"/>
  <c r="M133" i="2"/>
  <c r="D47" i="2"/>
  <c r="L133" i="2"/>
  <c r="H133" i="2"/>
  <c r="J133" i="2"/>
  <c r="K133" i="2"/>
  <c r="I133" i="2"/>
  <c r="F51" i="6" l="1"/>
  <c r="F52" i="6"/>
  <c r="F54" i="6"/>
  <c r="C152" i="2"/>
  <c r="N133" i="2"/>
  <c r="E133" i="2"/>
  <c r="C151" i="2" l="1"/>
  <c r="C161" i="2" s="1"/>
  <c r="C155" i="2"/>
  <c r="C71" i="6" s="1"/>
  <c r="C15" i="9"/>
  <c r="E54" i="9" s="1"/>
  <c r="C70" i="6"/>
  <c r="C154" i="2" l="1"/>
  <c r="E34" i="9"/>
  <c r="E45" i="9"/>
  <c r="C156" i="2"/>
  <c r="C49" i="6"/>
  <c r="C21" i="6"/>
  <c r="C50"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tc={53175405-CCA0-4C26-A7EC-65AC43117AA9}</author>
    <author>tc={E7233C15-2837-4F9B-A222-D281C6DE7DE2}</author>
  </authors>
  <commentList>
    <comment ref="B27" authorId="0" shapeId="0" xr:uid="{53175405-CCA0-4C26-A7EC-65AC43117AA9}">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0nly 5% coffee tree productivity increase</t>
      </text>
    </comment>
    <comment ref="B28" authorId="1" shapeId="0" xr:uid="{E7233C15-2837-4F9B-A222-D281C6DE7DE2}">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85% survival rate of timber and macadamia trees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tc={81652B9D-14B3-4018-B59C-F72CB41E7CF1}</author>
    <author>tc={26BE43D1-8682-4234-A2EA-2C15870CBEB8}</author>
    <author>tc={E2F3577A-46D4-4EA2-812B-3CADD82FC49E}</author>
    <author>tc={894E6686-7BDE-4D98-860D-EC985C8F9499}</author>
    <author>tc={D480EA2A-BE2D-41A0-9E38-E732A848753E}</author>
    <author>tc={24C9CC42-022D-412F-970F-D08474423D78}</author>
    <author>tc={6678F55A-1619-4B46-B4E1-7A0C91C203CC}</author>
    <author>tc={F1DF29D0-4C02-4B3C-B603-42488B0DE80D}</author>
  </authors>
  <commentList>
    <comment ref="C19" authorId="0" shapeId="0" xr:uid="{81652B9D-14B3-4018-B59C-F72CB41E7CF1}">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OAF reports average of 454 productive coffee trees in OAF Uganda Coffee Impact Report 2025 Central Western</t>
      </text>
    </comment>
    <comment ref="B23" authorId="1" shapeId="0" xr:uid="{26BE43D1-8682-4234-A2EA-2C15870CBEB8}">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We assume that real costs per farmer stay constant.</t>
      </text>
    </comment>
    <comment ref="C23" authorId="2" shapeId="0" xr:uid="{E2F3577A-46D4-4EA2-812B-3CADD82FC49E}">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46 nominal 2025 UGX</t>
      </text>
    </comment>
    <comment ref="C24" authorId="3" shapeId="0" xr:uid="{894E6686-7BDE-4D98-860D-EC985C8F9499}">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97,400 nominal 2025 UGX</t>
      </text>
    </comment>
    <comment ref="B27" authorId="4" shapeId="0" xr:uid="{D480EA2A-BE2D-41A0-9E38-E732A848753E}">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Update from 2025 MEL framework</t>
      </text>
    </comment>
    <comment ref="B30" authorId="5" shapeId="0" xr:uid="{24C9CC42-022D-412F-970F-D08474423D78}">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We take the value from RTV baseline report because we do not have consumption data in OAF survey. This is from Kitagwenda and Rakai distrikt and may not apply for Kassanda/Mubende
Antwort:
    In OAF baseline survey median total hh revenues amount to 5,625,000 UGX. However, this relies on a very crude survey question.</t>
      </text>
    </comment>
    <comment ref="B38" authorId="6" shapeId="0" xr:uid="{6678F55A-1619-4B46-B4E1-7A0C91C203CC}">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Assuming farmer plants 1 kg per season on 0.28 ha</t>
      </text>
    </comment>
    <comment ref="C83" authorId="7" shapeId="0" xr:uid="{F1DF29D0-4C02-4B3C-B603-42488B0DE80D}">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OAF assumes number of households=number of farmers*0.97</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tc={2AEC212E-EB46-4F43-A987-23B77CBDB0CE}</author>
    <author>tc={9732200F-EC82-45A3-BE72-2BBA2A6D3DE1}</author>
    <author>tc={D7DF8DFE-80B6-4A42-A47E-0E3D631B72BC}</author>
    <author>tc={52DA56EF-9D11-4F08-929F-8D07BED84017}</author>
    <author>tc={B499B8A5-4EA8-4AF0-87B7-7EDC93A71CC5}</author>
    <author>tc={5EAF7944-7D09-4F5A-B468-5DE44FE113B2}</author>
    <author>tc={C285C6CF-87E3-47CF-AA24-04B733BC7C3A}</author>
    <author>tc={390B602A-3544-4DE4-8ED6-B299E801F719}</author>
    <author>tc={FF0E73DF-6705-41C2-8BCE-819C8D566A51}</author>
    <author>tc={4B2ACDBE-AE46-4309-9EDA-24442D2190FC}</author>
    <author>tc={469EF366-F24C-4506-AED2-5C77C1CEF630}</author>
    <author>tc={293CFE2C-ED93-46D8-BA1A-AF3C365CDC91}</author>
    <author>tc={E427B798-158D-4919-8E84-0729549D6CF6}</author>
    <author>tc={AE06D625-B9A1-47B6-8550-9C9CB6266097}</author>
    <author>tc={52D14CFD-4F2C-4E0E-ACA6-766D19F6CE91}</author>
    <author>tc={D9D7BBA3-A26D-48C2-89DE-158667918A87}</author>
    <author>tc={EBDDF246-17C5-4A55-873A-DD48CFB3ACB9}</author>
    <author>tc={CFEE743A-D343-4F6E-88C8-8BDD51623D83}</author>
    <author>tc={C349C28C-2E9C-4F67-ABDD-E37696959D44}</author>
    <author>tc={7DF3FD66-0092-48F3-82A2-AA448AA24345}</author>
    <author>tc={D8A9F5EA-42F8-4E99-BF9B-5254B5DF5D31}</author>
    <author>tc={F8579D53-C517-4426-A0E9-AE61F70250E1}</author>
    <author>tc={198A7A84-688B-4018-85F5-C27CDEF84F91}</author>
    <author>tc={5A065A09-913A-483F-8D2A-6F266D520FC4}</author>
    <author>tc={63FEB16C-3CD1-403D-875B-515A8F5BA7EC}</author>
    <author>tc={AD5D65A8-F2BC-424F-830B-26890A1DAF0F}</author>
    <author>tc={2F2BCBA1-D6D5-4D0F-AB4A-6CF529F111EA}</author>
    <author>tc={38A674C7-777A-4280-BEC8-553876AFE055}</author>
    <author>tc={8372606C-87A4-4010-823D-B908E3E154BD}</author>
    <author>tc={0EF90D2A-8EC2-4E38-82E5-92B14278831F}</author>
    <author>tc={D74C65EF-CA6B-463B-884A-1F77C5D6E95E}</author>
    <author>tc={F5C04338-F946-4FE0-B8FA-5E79A1F2EAE4}</author>
  </authors>
  <commentList>
    <comment ref="B1" authorId="0" shapeId="0" xr:uid="{2AEC212E-EB46-4F43-A987-23B77CBDB0CE}">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Includes all households (adopters and non-adopters)</t>
      </text>
    </comment>
    <comment ref="C5" authorId="1" shapeId="0" xr:uid="{9732200F-EC82-45A3-BE72-2BBA2A6D3DE1}">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We assume a linear decay in the yield benefit of 7.5% p.a. setting in Yr 3 of coffee training start. </t>
      </text>
    </comment>
    <comment ref="C7" authorId="2" shapeId="0" xr:uid="{D7DF8DFE-80B6-4A42-A47E-0E3D631B72BC}">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Source: M&amp;E framework
We assume linear decay in fertilizer adoption of 7,3% annually after coffee agromy training program ends</t>
      </text>
    </comment>
    <comment ref="C8" authorId="3" shapeId="0" xr:uid="{52DA56EF-9D11-4F08-929F-8D07BED84017}">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We proxy incremental expenditure for coffee production by additional harvest costs and costs for inorganic fertilizer. As GAP adoption increase, we can assume that other production costs increase as well. OAF estimates that an OAF farmer ocurrs 4x the production costs of a non-OAF farmer (see OAF impact modelling).</t>
      </text>
    </comment>
    <comment ref="C11" authorId="4" shapeId="0" xr:uid="{B499B8A5-4EA8-4AF0-87B7-7EDC93A71CC5}">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Additional production costs of around 18,000 UGX (= 0.01 USD) per tree align closely with OAF production cost estimates.</t>
      </text>
    </comment>
    <comment ref="B15" authorId="5" shapeId="0" xr:uid="{5EAF7944-7D09-4F5A-B468-5DE44FE113B2}">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Starts in Yr2</t>
      </text>
    </comment>
    <comment ref="B23" authorId="6" shapeId="0" xr:uid="{C285C6CF-87E3-47CF-AA24-04B733BC7C3A}">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The Uganda Macadamia Impact Model includes foregone maize value due to substitution but the monetary amount is negligible (because of the very low number of (surviving) trees). Therefore, we do not consider it here.</t>
      </text>
    </comment>
    <comment ref="C23" authorId="7" shapeId="0" xr:uid="{390B602A-3544-4DE4-8ED6-B299E801F719}">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Yield assumptions from OAF Macadamia Impact Model</t>
      </text>
    </comment>
    <comment ref="C26" authorId="8" shapeId="0" xr:uid="{FF0E73DF-6705-41C2-8BCE-819C8D566A51}">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Acc to OAF Uganda Macadamia Impact Model</t>
      </text>
    </comment>
    <comment ref="F28" authorId="9" shapeId="0" xr:uid="{4B2ACDBE-AE46-4309-9EDA-24442D2190FC}">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Fertilizer + seedlings</t>
      </text>
    </comment>
    <comment ref="G28" authorId="10" shapeId="0" xr:uid="{469EF366-F24C-4506-AED2-5C77C1CEF630}">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Pesticide+fertilizer</t>
      </text>
    </comment>
    <comment ref="M28" authorId="11" shapeId="0" xr:uid="{293CFE2C-ED93-46D8-BA1A-AF3C365CDC91}">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Fertilizer only. Pesticides only used in year 2-7; later tree becomes too tall to spray</t>
      </text>
    </comment>
    <comment ref="C33" authorId="12" shapeId="0" xr:uid="{E427B798-158D-4919-8E84-0729549D6CF6}">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40 tree seedlings are distributed in Year 2 and 3 each. </t>
      </text>
    </comment>
    <comment ref="C34" authorId="13" shapeId="0" xr:uid="{AE06D625-B9A1-47B6-8550-9C9CB6266097}">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Acc to OAF Uganda Tree NPV Model</t>
      </text>
    </comment>
    <comment ref="C38" authorId="14" shapeId="0" xr:uid="{52D14CFD-4F2C-4E0E-ACA6-766D19F6CE91}">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Acc to OAF Uganda Tree NPV Model maintenance costs are $0.40 Yr1-Yr7 and $0.17 afterwards. We use the same currency excange rate of 3400 UGY=1 USD</t>
      </text>
    </comment>
    <comment ref="C53" authorId="15" shapeId="0" xr:uid="{D9D7BBA3-A26D-48C2-89DE-158667918A87}">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We assume a linear decay in the yield benefit of 7.5% p.a. setting in Yr 3 of coffee training start. </t>
      </text>
    </comment>
    <comment ref="C55" authorId="16" shapeId="0" xr:uid="{EBDDF246-17C5-4A55-873A-DD48CFB3ACB9}">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Source: OAF GAP Implementation Check Report Q3 2025
We assume linear decay in fertilizer adoption of 7,3% annually after coffee agromy training program ends</t>
      </text>
    </comment>
    <comment ref="C56" authorId="17" shapeId="0" xr:uid="{CFEE743A-D343-4F6E-88C8-8BDD51623D83}">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We proxy incremental expenditure for coffee production by additional harvest costs and costs for inorganic fertilizer. As GAP adoption increase, we can assume that other production costs increase as well. OAF estimates that an OAF farmer ocurrs 4x the production costs of a non-OAF farmer (see OAF impact modelling).</t>
      </text>
    </comment>
    <comment ref="B71" authorId="18" shapeId="0" xr:uid="{C349C28C-2E9C-4F67-ABDD-E37696959D44}">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The Uganda Macadamia Impact Model includes foregone maize value due to substitution but the monetary amount is negligible (because of the very low number of (surviving) trees). Therefore, we do not consider it here.</t>
      </text>
    </comment>
    <comment ref="C71" authorId="19" shapeId="0" xr:uid="{7DF3FD66-0092-48F3-82A2-AA448AA24345}">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Yield assumptions from OAF Macadamia Impact Model</t>
      </text>
    </comment>
    <comment ref="E76" authorId="20" shapeId="0" xr:uid="{D8A9F5EA-42F8-4E99-BF9B-5254B5DF5D31}">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Fertilizer + seedlings</t>
      </text>
    </comment>
    <comment ref="F76" authorId="21" shapeId="0" xr:uid="{F8579D53-C517-4426-A0E9-AE61F70250E1}">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Pesticide+fertilizer</t>
      </text>
    </comment>
    <comment ref="L76" authorId="22" shapeId="0" xr:uid="{198A7A84-688B-4018-85F5-C27CDEF84F91}">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Fertilizer only</t>
      </text>
    </comment>
    <comment ref="C81" authorId="23" shapeId="0" xr:uid="{5A065A09-913A-483F-8D2A-6F266D520FC4}">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In the HWG program, trees are only introduced in Buikwe in Yr 3 of the program. </t>
      </text>
    </comment>
    <comment ref="B98" authorId="24" shapeId="0" xr:uid="{63FEB16C-3CD1-403D-875B-515A8F5BA7EC}">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We assume 1 farmer=0.97 households</t>
      </text>
    </comment>
    <comment ref="H106" authorId="25" shapeId="0" xr:uid="{AD5D65A8-F2BC-424F-830B-26890A1DAF0F}">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After 3 years, we do not account for further drop-out because full impact materializes after 3 year of program participation.</t>
      </text>
    </comment>
    <comment ref="H137" authorId="26" shapeId="0" xr:uid="{2F2BCBA1-D6D5-4D0F-AB4A-6CF529F111EA}">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OAF doesn‘t have a fixed program duration (as they stay in the project region and continue offering their services). We assume 3 years here because we measure program benefits 3 years after project start in the evaluation</t>
      </text>
    </comment>
    <comment ref="B139" authorId="27" shapeId="0" xr:uid="{38A674C7-777A-4280-BEC8-553876AFE055}">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We substract indirect cost share from project budget. We assume indirect costs do not reflect marginal costs to replicate or expand project.</t>
      </text>
    </comment>
    <comment ref="D139" authorId="28" shapeId="0" xr:uid="{8372606C-87A4-4010-823D-B908E3E154BD}">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Deduct EUR 5,710 from 2024 budget because OAF would have scouted fewer sites/districts without the evaluation.</t>
      </text>
    </comment>
    <comment ref="E139" authorId="29" shapeId="0" xr:uid="{0EF90D2A-8EC2-4E38-82E5-92B14278831F}">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Deduct EUR 137,508 for OAF yield study in control sites and increased operational expenses due to simultaneous rollout in 2 districts in Yr 1</t>
      </text>
    </comment>
    <comment ref="F139" authorId="30" shapeId="0" xr:uid="{D74C65EF-CA6B-463B-884A-1F77C5D6E95E}">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Deduct EUR 68,477 for OAF yield study in control sites</t>
      </text>
    </comment>
    <comment ref="G139" authorId="31" shapeId="0" xr:uid="{F5C04338-F946-4FE0-B8FA-5E79A1F2EAE4}">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Deduct EUR 24,980  for OAF yield study in control sites. Added 148,521 EUR in OAF co-funding</t>
      </text>
    </comment>
  </commentList>
</comments>
</file>

<file path=xl/sharedStrings.xml><?xml version="1.0" encoding="utf-8"?>
<sst xmlns="http://schemas.openxmlformats.org/spreadsheetml/2006/main" count="528" uniqueCount="314">
  <si>
    <t>HWG Impact Model:</t>
  </si>
  <si>
    <t>Making 34,000 Coffee Farmers More Prosperous, Food Secure, and Climate Resilient by 2027</t>
  </si>
  <si>
    <t>Overview</t>
  </si>
  <si>
    <t>Project name</t>
  </si>
  <si>
    <t>Implementing partner</t>
  </si>
  <si>
    <t>One Acre Fund</t>
  </si>
  <si>
    <t>Evaluation partner</t>
  </si>
  <si>
    <t>Laterite</t>
  </si>
  <si>
    <t>Project country</t>
  </si>
  <si>
    <t>Uganda</t>
  </si>
  <si>
    <t>Project region</t>
  </si>
  <si>
    <t xml:space="preserve">Buikwe District, Kassanda District, Mubende District </t>
  </si>
  <si>
    <t>Project duration</t>
  </si>
  <si>
    <t>01/2024 - 12/2027</t>
  </si>
  <si>
    <t>Objective</t>
  </si>
  <si>
    <t>1) increase coffee productivity and revenues, 2) diversify income sources, 3) bolster climate resilience</t>
  </si>
  <si>
    <t>Budget (2025 nominal EUR)</t>
  </si>
  <si>
    <t>Outreach</t>
  </si>
  <si>
    <t>households</t>
  </si>
  <si>
    <t>Date of Analysis / Version</t>
  </si>
  <si>
    <t>June 2026</t>
  </si>
  <si>
    <t>Author</t>
  </si>
  <si>
    <t>Sarah Wiegel</t>
  </si>
  <si>
    <t>SROI</t>
  </si>
  <si>
    <r>
      <t xml:space="preserve">Total SROI </t>
    </r>
    <r>
      <rPr>
        <b/>
        <sz val="10"/>
        <color theme="1"/>
        <rFont val="Pero"/>
        <family val="2"/>
      </rPr>
      <t>(10 year time frame)</t>
    </r>
  </si>
  <si>
    <t>Type</t>
  </si>
  <si>
    <t>Forecast</t>
  </si>
  <si>
    <t>Level of certainty*</t>
  </si>
  <si>
    <t>Low</t>
  </si>
  <si>
    <t>Data source of imact estimates</t>
  </si>
  <si>
    <t>OAF impact reports and impact models</t>
  </si>
  <si>
    <r>
      <t xml:space="preserve">Sensitivity analysis
</t>
    </r>
    <r>
      <rPr>
        <sz val="10"/>
        <color theme="1"/>
        <rFont val="Pero"/>
        <family val="2"/>
      </rPr>
      <t>(parameters to determine lower- and upper-bound SROI estimates)</t>
    </r>
  </si>
  <si>
    <t>Coffee productivity increase + Tree survival rate + Macadamia survival rate</t>
  </si>
  <si>
    <t>Lower-bound SROI</t>
  </si>
  <si>
    <t>Upper-bound SROI</t>
  </si>
  <si>
    <t>Details of HWG Evaluation</t>
  </si>
  <si>
    <t>Evaluation methodology</t>
  </si>
  <si>
    <t>Quasi-experimental design (DiD) wihth staggered roll-out</t>
  </si>
  <si>
    <t>Primary outcome</t>
  </si>
  <si>
    <t>Coffee yield per tree</t>
  </si>
  <si>
    <t>Income measurement</t>
  </si>
  <si>
    <t>Derived from share of coffee income in total household income (10-stones method)</t>
  </si>
  <si>
    <t>Sample size</t>
  </si>
  <si>
    <t>810 households in 45 parishes</t>
  </si>
  <si>
    <t>Study population</t>
  </si>
  <si>
    <t>Coffee-cultivating households that plan to harvest this season, have at least 200 coffee trees, and reside in project parishes</t>
  </si>
  <si>
    <t>Methodological rigor*</t>
  </si>
  <si>
    <t>Good</t>
  </si>
  <si>
    <t xml:space="preserve">Findings on other outcomes </t>
  </si>
  <si>
    <t>Food security</t>
  </si>
  <si>
    <t>Results expected in October 2026 (midline) and October 2028 (endline)</t>
  </si>
  <si>
    <t>Intra-household decision-making</t>
  </si>
  <si>
    <t>Present Value vs Costs</t>
  </si>
  <si>
    <t>Costs per HH</t>
  </si>
  <si>
    <t>Present Value per HH</t>
  </si>
  <si>
    <t>NPV per HH</t>
  </si>
  <si>
    <t>Kassanda und Mubende</t>
  </si>
  <si>
    <t>Buikwe</t>
  </si>
  <si>
    <t xml:space="preserve">Coffee </t>
  </si>
  <si>
    <t>Chia</t>
  </si>
  <si>
    <t>Macadamia</t>
  </si>
  <si>
    <t>Trees</t>
  </si>
  <si>
    <t>Project Costs discounted</t>
  </si>
  <si>
    <t xml:space="preserve">Present Value </t>
  </si>
  <si>
    <t xml:space="preserve">Net Present Value </t>
  </si>
  <si>
    <t>1) OAF Program Theory of Change</t>
  </si>
  <si>
    <t>2) HereWeGrow Impact Map</t>
  </si>
  <si>
    <t>1) Details of the Analysis</t>
  </si>
  <si>
    <t>Impact Measure*</t>
  </si>
  <si>
    <t>Additional net income (profit) generated</t>
  </si>
  <si>
    <t>Cell shading indicates data confidence</t>
  </si>
  <si>
    <t>Base year</t>
  </si>
  <si>
    <t>Substantiated — supported by credible empirical source</t>
  </si>
  <si>
    <t>Year of Analysis</t>
  </si>
  <si>
    <t>Uncertain — based on limited data, proxy, or forecast assumption</t>
  </si>
  <si>
    <t>Year of Analysis Currency</t>
  </si>
  <si>
    <t>2021 EUR</t>
  </si>
  <si>
    <t>2) Assumptions Used in the Analysis</t>
  </si>
  <si>
    <t>Assumption</t>
  </si>
  <si>
    <t>Value</t>
  </si>
  <si>
    <t>Discount rate*</t>
  </si>
  <si>
    <t>Farm &amp; agronomic parameters</t>
  </si>
  <si>
    <t>Coffee Mubende &amp; Kassanda</t>
  </si>
  <si>
    <t>Coffee Buikwe (only when different from Mubende/Kassanda assumptions)</t>
  </si>
  <si>
    <t>Parameter</t>
  </si>
  <si>
    <t>Source</t>
  </si>
  <si>
    <t>Notes</t>
  </si>
  <si>
    <t>Median coffee farm size (ha)</t>
  </si>
  <si>
    <t>Laterite baseline data (variable landuse_rob_ha)</t>
  </si>
  <si>
    <t>Median coffee Farm Size (ha)</t>
  </si>
  <si>
    <t>OAF Buikwe GAP Implementation Check Data 2024</t>
  </si>
  <si>
    <t>Median number of productive coffee trees per ha</t>
  </si>
  <si>
    <t>Laterite baseline data (variable pt_pa_cpa)</t>
  </si>
  <si>
    <t>This is number of productive coffee trees per coffee-planted area. Coffee-planted area refers to the portion of a farmer’s land specifically planted with coffee trees. If a farmer reported that a certain percentage of a plot is under coffee, this percentage was applied to the plot size to estimate the coffee-planted area.</t>
  </si>
  <si>
    <t>Median Robusta productivity major season (kg fresh cherry/tree)</t>
  </si>
  <si>
    <t>Laterite Baseline Report, p. 45</t>
  </si>
  <si>
    <t>Value provided as dried cherry (kiboko); converted to fresh cherry by dividing by 0.4</t>
  </si>
  <si>
    <t xml:space="preserve">Acc to Enveritas and OAF2021 Coffee Impact Study, coffee tree productivity is similar in Kassanda/Mubende and Buikwe/Mukono. Data from OAF 2023 Coffee Impact Study in Mukono shows much higher productivity levels (around 3 kg kiboko per tree for comparison farmers). Yet, this may still incorporate spillover effects of OAF programming. </t>
  </si>
  <si>
    <t>Median Robusta productivity minor season (kg fresh cherry/tree)</t>
  </si>
  <si>
    <t>Laterite baseline data</t>
  </si>
  <si>
    <t>From OAF SROI modelling and Laterite baseline data (variable ratio_s2_s1) we assume minor harvest is about 60-70% of production at major harvest.</t>
  </si>
  <si>
    <t>Median coffee production (kg fresh cherry)</t>
  </si>
  <si>
    <t>Mean hh expenditure for hired labor for harvesting per kg fresh cherry (in real 2024 UGX)</t>
  </si>
  <si>
    <t>Laterite baseline data (see code SROI.do)</t>
  </si>
  <si>
    <t>includes those that have zero expenditure for hired labor for harvesting</t>
  </si>
  <si>
    <t>We don't have data for Buikwe and thus assume same values than for Kassanda/Mubende</t>
  </si>
  <si>
    <t>Mean expenditure for inorganic fertilizer per ha (in real 2024 UGX)</t>
  </si>
  <si>
    <t>includes those that have zero expenditure for fertilizer</t>
  </si>
  <si>
    <t>Coffee tree productivity increase due to GAP adoptionin Yr 1</t>
  </si>
  <si>
    <t>OAF Coffee Impact Report 2025 Central Western</t>
  </si>
  <si>
    <t>Coffee tree productivity increase due to GAP adoption from Year 2 onwards</t>
  </si>
  <si>
    <t>M&amp;E framework</t>
  </si>
  <si>
    <t>To be reached in Yr 2. The M&amp;E Framework states 20% productivity increase (compared to 40% in the OAF impact model) because 55% of the hh will only participate 1 year in the HWG-funded program period</t>
  </si>
  <si>
    <t>Coffee sales price increase du to OAF Market Access Program</t>
  </si>
  <si>
    <t>% of coffee sold to better marketing channel</t>
  </si>
  <si>
    <t>Market access program starts in Yr2</t>
  </si>
  <si>
    <t>% of households participating in Market Access Program</t>
  </si>
  <si>
    <t>HWG assumption</t>
  </si>
  <si>
    <t>Monitoring data from Q2 2025 shows 3% participation in Bukwe.</t>
  </si>
  <si>
    <t>Annual median total household income (in nominal 2024 UGX)</t>
  </si>
  <si>
    <t>Laterite Baseline Report, p. 25</t>
  </si>
  <si>
    <t>=3431.973*365*5.4</t>
  </si>
  <si>
    <t>We assume that all additional effort required for GAP adoption can be consumed by hh labor and hired labor for harvesting and expenditures for inorganic fertilizer are the only incremental costs the hh faces due to improved farm management/GAP adoption. This is in line with OAF impact modelling.</t>
  </si>
  <si>
    <t>Chia Mubende &amp; Kassanda</t>
  </si>
  <si>
    <t>Chia Buike (only when different from Mubende/Kassanda assumptions)</t>
  </si>
  <si>
    <t>Average chia farm size (ha)</t>
  </si>
  <si>
    <t>OAF Chia Impact Model 2025 MubendeKassanda</t>
  </si>
  <si>
    <t>OAF Quarterly Report Nov 2025</t>
  </si>
  <si>
    <t>Average chia production (kg per hectare) per year</t>
  </si>
  <si>
    <t>acc to OAF, this is a conservative yield estimate.
There are 2 seasons per year.</t>
  </si>
  <si>
    <t>Annual chia revenue per ha (PSM with OAF non-Chia farmers) (in real 2024 UGX)</t>
  </si>
  <si>
    <t>Cost of chia seed per kg (in real 2024 UGX)</t>
  </si>
  <si>
    <t>Seed rate (kg per ha)</t>
  </si>
  <si>
    <t>1 kg per acre</t>
  </si>
  <si>
    <t>Annual production costs chia per ha (in real 2024 UGX)</t>
  </si>
  <si>
    <t>OAF Chia Impact Model 2025</t>
  </si>
  <si>
    <t>% of farmers adopting chia</t>
  </si>
  <si>
    <t>Target in M&amp;E framework is for chia, macadamia or other commercial crops; but OAF monitoring data for Buikwe shows that 10% chia adoption is feasible.
We do not expect a temporal decay of adoption because OAF retail continues to operate after project end.</t>
  </si>
  <si>
    <t>Profit per ha from replacement crops of OAF-non-Chia farmers (in 2024 UGX)</t>
  </si>
  <si>
    <t>OAF non-Chia farmers serve as comparison group. Acc to OAF pre-study phone survey they plant replacement crops line groundnuts, soya, or sweet potato)</t>
  </si>
  <si>
    <t>Average number of trees planted</t>
  </si>
  <si>
    <t>OAF Quarterly Report Q4 2025</t>
  </si>
  <si>
    <t>for adopters</t>
  </si>
  <si>
    <t>Tree survical rate at 12 months post-transplantation</t>
  </si>
  <si>
    <t xml:space="preserve">very conservative. In other models, OAF assumes up to 80% survival rate 12-months post transpalntation (77% after 24 months) </t>
  </si>
  <si>
    <t>% of farmers adopting macadamia</t>
  </si>
  <si>
    <t>target in M&amp;E framework is for chia, macadamia or other commercial crops; but OAF monitoring data for Buikwe shows that 10% macadamia adoption is feasible.
We do not expect a temporal decay of adoption because OAF retail continues to operate after project end.</t>
  </si>
  <si>
    <t>Cost per macadamia seedling (in real 2024 UGX)</t>
  </si>
  <si>
    <t>OAF Uganda Macadamia Impact Model 2024</t>
  </si>
  <si>
    <t>in 2025: 4,000 UGX (govt subsidized), 12,000 UGX non-subsidized (e-mal Allsion). If subsidized seedlings are available, OAF sells at subsidized price to the farmer. For simplicity, we work with non-subsidized price.</t>
  </si>
  <si>
    <t>Cost of pesticides per tree per year (in real 2024 UGX)</t>
  </si>
  <si>
    <t xml:space="preserve"> Pesticide only used in years 2-7; later tree becomes too tall to spray and smoking preferred method of pest control </t>
  </si>
  <si>
    <t>Cost of fertilizer (kg) (in real 2024 UGX)</t>
  </si>
  <si>
    <t>Number of tree seedlings distributed per farmer</t>
  </si>
  <si>
    <t>OAF Agroforestry Update</t>
  </si>
  <si>
    <t>Tree planting rate</t>
  </si>
  <si>
    <t>Agroforestry Implementation Update v2</t>
  </si>
  <si>
    <t>Tree survival rate at 12 months post-transplantation</t>
  </si>
  <si>
    <t>Selling price per bundle of firewood (in real 2024 UGX)</t>
  </si>
  <si>
    <t>OAF Uganda Grev NPV Model</t>
  </si>
  <si>
    <t>Revenue from whole tree sale per tree in Yr 9 (in real 2024 UGX)</t>
  </si>
  <si>
    <t>OAF Uganda Tree NPV Model</t>
  </si>
  <si>
    <t>Acc to the OAF Uganda Tree NPV Model, tree is cut down at 20 years for timber or sold whole. We discount the avg sales price at Yr 20 ($14.01) to Yr 9</t>
  </si>
  <si>
    <t>Revenue from timber sale in Yr 9 (in real 2024 UGX)</t>
  </si>
  <si>
    <t>Revenue from firewood per tree from Yr 6 onwards (in real 2024 UGX)</t>
  </si>
  <si>
    <t>Acc to OAF Uganda Tree NPV Model, a farmer sells 28.51 units of firewood per tree for $0.11 per unit per year from year 6 onwards.</t>
  </si>
  <si>
    <t>Sales prices</t>
  </si>
  <si>
    <t>Year</t>
  </si>
  <si>
    <t>Coffee Price (kg fresh cherry) (in nominal UGX)</t>
  </si>
  <si>
    <t xml:space="preserve">2021-2024: Ibero Robusta coffee prices 2021-2024; 2025: Laterite baseline report; 2026-2038: inflate real prices using predicted GDP deflator; </t>
  </si>
  <si>
    <t>Coffee Price (kg fresh cherry) (in real 2024 UGX)</t>
  </si>
  <si>
    <t>from 2026: 3-year average (2023-2025)</t>
  </si>
  <si>
    <t>Chia Price (kg)
(in nominal UGX)</t>
  </si>
  <si>
    <t>2023-2025: OAF; 2026-2038: inflate real prices using predicted GDP deflator</t>
  </si>
  <si>
    <t>Chia Price (kg ) (in real 2024 UGX)</t>
  </si>
  <si>
    <t>we carry 2023 prices forward</t>
  </si>
  <si>
    <t>Maize Price (kg dry) (in nominal UGX)</t>
  </si>
  <si>
    <t>2022-2025: FAO Food Price Monitoring Tool (https://fpma.fao.org/giews/fpmat4/global/#/dashboard/tool/domestic). The tool provides national average retail prices . To convert this into farm gate price we multiply retail price by 0.6 (this assumes farmers receive on average about 60% of the retail price on average). 2026-2030: inflate real prices using predicted GDP deflator; 2026-2034: 3-year average (2023-2025)</t>
  </si>
  <si>
    <t>Maize Price (kg dry) (in real 2024 UGX)</t>
  </si>
  <si>
    <t>Macadamia Price (kg raw nuts) (in nominal 2024 UGX)</t>
  </si>
  <si>
    <t>2025-2038: inflate real prices using predicted GDP deflator</t>
  </si>
  <si>
    <t>Macadamia Price (kg raw nuts) (in real 2024 UGX)</t>
  </si>
  <si>
    <t>2024: OAF; we carry 2024 prices forward</t>
  </si>
  <si>
    <t>Linear decay in farmers' practice adoption</t>
  </si>
  <si>
    <t>(IPE Triple Line, 2017)</t>
  </si>
  <si>
    <t>Household reach</t>
  </si>
  <si>
    <t>End of project total by project exposure (considering 75% farmer retention)</t>
  </si>
  <si>
    <t>Number of households</t>
  </si>
  <si>
    <t>Years</t>
  </si>
  <si>
    <t>HH</t>
  </si>
  <si>
    <t>Share</t>
  </si>
  <si>
    <t>Planned Kassanda &amp; Mubende</t>
  </si>
  <si>
    <t>Actual Kassanda &amp; Mubende</t>
  </si>
  <si>
    <t>Planned Buikwe</t>
  </si>
  <si>
    <t>Actual Buikwe</t>
  </si>
  <si>
    <t>Planned Total</t>
  </si>
  <si>
    <t xml:space="preserve">Actual Total </t>
  </si>
  <si>
    <t>Entering each year</t>
  </si>
  <si>
    <t>Total household-years</t>
  </si>
  <si>
    <t>Farmer program retention</t>
  </si>
  <si>
    <t>Source: OAF Quarterly Report Q3 2025</t>
  </si>
  <si>
    <t>Inflation*</t>
  </si>
  <si>
    <t>Sources</t>
  </si>
  <si>
    <t>Uganda GDP deflator (annual %) base year=2016</t>
  </si>
  <si>
    <t xml:space="preserve">2021-2030: IMF GDP deflator; 2031-2034: 3-year average inflation rate (2028-2030 - 4.6% per year) </t>
  </si>
  <si>
    <t>Germany GDP deflator (annual %) base year=2015/2016</t>
  </si>
  <si>
    <t>Exchange rates</t>
  </si>
  <si>
    <t>UGX:EUR</t>
  </si>
  <si>
    <t>Standard</t>
  </si>
  <si>
    <t xml:space="preserve"> 2021 average </t>
  </si>
  <si>
    <t>UGX:USD</t>
  </si>
  <si>
    <t>2021 average</t>
  </si>
  <si>
    <t>PPP</t>
  </si>
  <si>
    <t>PPP conversion factor, GDP (LCU per international $)</t>
  </si>
  <si>
    <t>*Detailed definitions and background information are given under the tab "Info".</t>
  </si>
  <si>
    <t>1) Incremental Cash-flow household level</t>
  </si>
  <si>
    <t>Kassanda &amp; Mubende</t>
  </si>
  <si>
    <t>Coffee revenue through increased production (GAP adoption and reduced post-harvest losses) and better coffee prices</t>
  </si>
  <si>
    <t xml:space="preserve">Yield benefit (kg fresh cherry) </t>
  </si>
  <si>
    <t>-</t>
  </si>
  <si>
    <t>Harvest Cost additional  (in real 2024 UGX)</t>
  </si>
  <si>
    <t>% of households that start adopting inorganic fertilizer</t>
  </si>
  <si>
    <t>Fertilizer cost additional (in real 2024 UGX)</t>
  </si>
  <si>
    <t>Additional revenue per household  (in real 2024 UGX) - production effect</t>
  </si>
  <si>
    <t>Additional revenue per household  (in real 2024 UGX) - price effect</t>
  </si>
  <si>
    <t>Additional profit per household (in real 2024 UGX)</t>
  </si>
  <si>
    <t>Additional profit per household, discounted (in real 2024 UGX)</t>
  </si>
  <si>
    <t>Additional profit per household, discounted (in real 2021 UGX)</t>
  </si>
  <si>
    <t>Additional profit per household, discounted (in real 2021 EUR)</t>
  </si>
  <si>
    <t>Chia revenue per household (in real 2024 UGX)</t>
  </si>
  <si>
    <t>Chia production costs (in real 2024 UGX)</t>
  </si>
  <si>
    <t>Chia profit per household (in real 2024 UGX)</t>
  </si>
  <si>
    <t>Profit from replacement crops per household (in real 2024 UGX)</t>
  </si>
  <si>
    <t>Additional profit per household, dicounted (in real 2024 UGX)</t>
  </si>
  <si>
    <t>Kg expected sales (w/ wastage) per tree</t>
  </si>
  <si>
    <t>Number of trees per household</t>
  </si>
  <si>
    <t>Revenue per household (in real 2024 UGX)</t>
  </si>
  <si>
    <t>Kg fertilizer required</t>
  </si>
  <si>
    <t>Total production cost (in real 2024 UGX)</t>
  </si>
  <si>
    <t xml:space="preserve">- </t>
  </si>
  <si>
    <t>Firewood production per tree (bundles)</t>
  </si>
  <si>
    <t>Revenue from firewood (use and sale) (in real 2024 UGX)</t>
  </si>
  <si>
    <t>Revenue from timber (in real 2024 UGX)</t>
  </si>
  <si>
    <t>Revenue from whole tree sale (in real 2024 UGX)</t>
  </si>
  <si>
    <t>Total costs (labor and land opportunity costs) (in real 2024 UGX)</t>
  </si>
  <si>
    <t>Additional income per household (in real 2024 UGX)</t>
  </si>
  <si>
    <t>Additional income per household, discounted (in real 2021 UGX)</t>
  </si>
  <si>
    <t>Additonal income per household, discounted (in real 2021 EUR)</t>
  </si>
  <si>
    <t>Present Value per household (in real 2021 EUR)</t>
  </si>
  <si>
    <t>Total costs (labor and land opportunity cost) (in real 2024 UGX)</t>
  </si>
  <si>
    <t>Present Value per household (EUR)</t>
  </si>
  <si>
    <t>2) Number of households per year and project location</t>
  </si>
  <si>
    <t>Mubende &amp; Kassanda</t>
  </si>
  <si>
    <t>Number of years since participation</t>
  </si>
  <si>
    <t>Project Lifetime</t>
  </si>
  <si>
    <t>Beyond Project Lifetime</t>
  </si>
  <si>
    <t>3) Incremental cash-flow total project discounted</t>
  </si>
  <si>
    <t>Incremental Cash-flow, discounted (in real 2021 EUR)</t>
  </si>
  <si>
    <t>Total</t>
  </si>
  <si>
    <t>Incremental Cash-flow EUR, discounted</t>
  </si>
  <si>
    <t xml:space="preserve">4) Project Costs </t>
  </si>
  <si>
    <t>HWG investment</t>
  </si>
  <si>
    <t>Additional costs to complete 3-years of OAF programming</t>
  </si>
  <si>
    <t>Project Costs (in nominal EUR)</t>
  </si>
  <si>
    <t>OAF Budget FR Q3 2025</t>
  </si>
  <si>
    <t>Project Costs (in real 2024 EUR)</t>
  </si>
  <si>
    <t>OAF e-mail SROI budget</t>
  </si>
  <si>
    <t>Project Costs, discounted (in real 2024 EUR)</t>
  </si>
  <si>
    <t>Project Cost, discounted (in real 2021 EUR)</t>
  </si>
  <si>
    <t>HWG investment discounted (in 2021 EUR)</t>
  </si>
  <si>
    <t>Cost per household-year (in 2021 EUR)</t>
  </si>
  <si>
    <t>It costs about 34 EUR (in 2021 EUR) to provide one year of programming to one household.</t>
  </si>
  <si>
    <t>Total project costs (to allow 3-year programming for all enrolled hh) (discounted in 2021 EUR)</t>
  </si>
  <si>
    <t xml:space="preserve">Program costs per household discounted (in 2021 EUR) </t>
  </si>
  <si>
    <t>The average cost per participating household is 87 EUR (in 2021 EUR). This figure accounts for staggered program entry by weighting households according to their duration of participation.</t>
  </si>
  <si>
    <t>5) Present Value (in 2021 EUR)</t>
  </si>
  <si>
    <t xml:space="preserve">Present Value per household  Kassanda &amp; Mubende </t>
  </si>
  <si>
    <t>Present Value per household  Buikwe</t>
  </si>
  <si>
    <t>Present Value per household</t>
  </si>
  <si>
    <t>Total Project Net Present Value</t>
  </si>
  <si>
    <t>Net Present Value per household</t>
  </si>
  <si>
    <t>Relative increase in household income</t>
  </si>
  <si>
    <t>6) Project SROI</t>
  </si>
  <si>
    <t>Social Return on Investment (SROI)</t>
  </si>
  <si>
    <t>SROI = Total Benefits / Project Costs</t>
  </si>
  <si>
    <t>Sensitivity Analysis</t>
  </si>
  <si>
    <t>Point sensitivity — override a driver below to test its effect on the SROI ratio. "Base" restores the original model assumption.</t>
  </si>
  <si>
    <t>Driver</t>
  </si>
  <si>
    <t>Base</t>
  </si>
  <si>
    <t>Note</t>
  </si>
  <si>
    <t>Discount rate</t>
  </si>
  <si>
    <t>Master input.</t>
  </si>
  <si>
    <t>Coffee price change</t>
  </si>
  <si>
    <t>Master input</t>
  </si>
  <si>
    <t>Annual effect decay/increase</t>
  </si>
  <si>
    <t>Master input. SROI discounting reads this cell.</t>
  </si>
  <si>
    <t>Non-implementation cost share deducted</t>
  </si>
  <si>
    <t>Master input. Deducted from annual budget.</t>
  </si>
  <si>
    <t xml:space="preserve">Master input. </t>
  </si>
  <si>
    <t>Share of households participating in market access program</t>
  </si>
  <si>
    <t>Coffee sales price increase through market access component</t>
  </si>
  <si>
    <t>Macadamia survival rate</t>
  </si>
  <si>
    <t>Tree survival rate</t>
  </si>
  <si>
    <t>NCIS</t>
  </si>
  <si>
    <r>
      <rPr>
        <b/>
        <sz val="11"/>
        <color theme="1"/>
        <rFont val="Pero"/>
        <family val="2"/>
      </rPr>
      <t xml:space="preserve">Discount rate: </t>
    </r>
    <r>
      <rPr>
        <sz val="11"/>
        <color theme="1"/>
        <rFont val="Pero"/>
        <family val="2"/>
      </rPr>
      <t>Not discounting project benefits and costs would increase the SROI to 15.6</t>
    </r>
  </si>
  <si>
    <r>
      <rPr>
        <b/>
        <sz val="11"/>
        <color theme="1"/>
        <rFont val="Pero"/>
        <family val="2"/>
      </rPr>
      <t xml:space="preserve">Non-implementation cost share: </t>
    </r>
    <r>
      <rPr>
        <sz val="11"/>
        <color theme="1"/>
        <rFont val="Pero"/>
        <family val="2"/>
      </rPr>
      <t>The project budget includes 15% indirect costs. Including these costs in the cost base for the SROI calculation reduces SROI to 7.0.</t>
    </r>
  </si>
  <si>
    <t>Coffee</t>
  </si>
  <si>
    <t>Share of hh participating in market access program</t>
  </si>
  <si>
    <t xml:space="preserve">Coffee tree productivity increase through GAP adoption (including inorganic fertilizer use) is a key parameter of the SROI model. Sensitivity analysis shows that even under a very modest productivity increase of 5% the program would create significant value. Assuming a 40% productivity increase (instead of 20%) drives SROI up to 13.8. In contrast, having more households enrolled in the Market Access Program has little effect on SROI. That is because the expected coffee price increase is modest (5%) and households are expected to sell only part of their coffee to buying partners.
</t>
  </si>
  <si>
    <t>Productivity increase</t>
  </si>
  <si>
    <t>Sensitivity analysis shows that price effects lead to much smaller gains in SROI than productivity effects. If the share of coffee households selling to buyback partners is kept constant at 20%, households' participation in the market access program and coffee sales prices have limited effects. Universal participation in the Market Access Program and a sales price increase of 75% would have roughly the same effect on SROI than doubling coffee tree productivity from 20% to 40%.</t>
  </si>
  <si>
    <t>Sales price increase</t>
  </si>
  <si>
    <t>The model assumes a very conservative tree survival rate of 35%. Evidence from Kenya and other projects in Uganda show tree survival rates of around 80% 12 months post-transplantation. Under the assumption that 80% of macadamia and other tree seedlings survived at 12 months post-transplantation, SROI would change from 8.2 to 11.6.</t>
  </si>
  <si>
    <t>Macadamia &amp; Trees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</si>
</sst>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5" formatCode="#,##0\ &quot;€&quot;;\-#,##0\ &quot;€&quot;"/>
    <numFmt numFmtId="43" formatCode="_-* #,##0.00_-;\-* #,##0.00_-;_-* &quot;-&quot;??_-;_-@_-"/>
    <numFmt numFmtId="164" formatCode="_-* #,##0_-;\-* #,##0_-;_-* &quot;-&quot;??_-;_-@_-"/>
    <numFmt numFmtId="165" formatCode="_-* #,##0.00\ [$€-407]_-;\-* #,##0.00\ [$€-407]_-;_-* &quot;-&quot;??\ [$€-407]_-;_-@_-"/>
    <numFmt numFmtId="166" formatCode="0.0"/>
    <numFmt numFmtId="167" formatCode="#,##0.0"/>
    <numFmt numFmtId="168" formatCode="_-* #,##0\ [$€-407]_-;\-* #,##0\ [$€-407]_-;_-* &quot;-&quot;\ [$€-407]_-;_-@_-"/>
    <numFmt numFmtId="169" formatCode="#,##0\ [$ETB]"/>
    <numFmt numFmtId="170" formatCode="0.000"/>
    <numFmt numFmtId="171" formatCode="#,##0.00\ [$ETB];\-#,##0.00\ [$ETB]"/>
    <numFmt numFmtId="172" formatCode="#,##0_ ;\-#,##0\ "/>
    <numFmt numFmtId="173" formatCode="#,##0\ [$€-407];\-#,##0\ [$€-407]"/>
    <numFmt numFmtId="174" formatCode="#,##0\ &quot;€&quot;"/>
    <numFmt numFmtId="175" formatCode="#,##0\ _€"/>
    <numFmt numFmtId="176" formatCode="#,##0\ _€;\-#,##0\ _€"/>
    <numFmt numFmtId="177" formatCode="#,##0.00000"/>
  </numFmts>
  <fonts count="40" x14ac:knownFonts="1">
    <font>
      <sz val="11"/>
      <color theme="1"/>
      <name val="Calibri"/>
      <family val="2"/>
      <scheme val="minor"/>
    </font>
    <font>
      <sz val="11"/>
      <color theme="1"/>
      <name val="Pero"/>
      <family val="2"/>
    </font>
    <font>
      <sz val="11"/>
      <color theme="1"/>
      <name val="Calibri"/>
      <family val="2"/>
      <scheme val="minor"/>
    </font>
    <font>
      <sz val="11"/>
      <color theme="1"/>
      <name val="Pero"/>
      <family val="2"/>
    </font>
    <font>
      <u/>
      <sz val="11"/>
      <color theme="10"/>
      <name val="Calibri"/>
      <family val="2"/>
      <scheme val="minor"/>
    </font>
    <font>
      <b/>
      <sz val="11"/>
      <color theme="1"/>
      <name val="Pero"/>
      <family val="2"/>
    </font>
    <font>
      <sz val="11"/>
      <color theme="1"/>
      <name val="Pero ExtraBold"/>
      <family val="2"/>
    </font>
    <font>
      <b/>
      <sz val="12"/>
      <color theme="1"/>
      <name val="Pero ExtraBold"/>
      <family val="2"/>
    </font>
    <font>
      <b/>
      <sz val="14"/>
      <color theme="1"/>
      <name val="Pero ExtraBold"/>
      <family val="2"/>
    </font>
    <font>
      <sz val="14"/>
      <color theme="1"/>
      <name val="Pero ExtraBold"/>
      <family val="2"/>
    </font>
    <font>
      <sz val="20"/>
      <color theme="1"/>
      <name val="Pero ExtraBold"/>
      <family val="2"/>
    </font>
    <font>
      <i/>
      <sz val="11"/>
      <color theme="1"/>
      <name val="Calibri"/>
      <family val="2"/>
      <scheme val="minor"/>
    </font>
    <font>
      <b/>
      <sz val="14"/>
      <color theme="1"/>
      <name val="Pero"/>
      <family val="2"/>
    </font>
    <font>
      <sz val="11"/>
      <color indexed="8"/>
      <name val="Calibri"/>
      <family val="2"/>
    </font>
    <font>
      <b/>
      <sz val="14"/>
      <color indexed="8"/>
      <name val="Pero"/>
      <family val="2"/>
    </font>
    <font>
      <sz val="10"/>
      <color indexed="8"/>
      <name val="Pero"/>
      <family val="2"/>
    </font>
    <font>
      <sz val="11"/>
      <color indexed="8"/>
      <name val="Pero"/>
      <family val="2"/>
    </font>
    <font>
      <b/>
      <sz val="11"/>
      <color theme="1"/>
      <name val="Calibri"/>
      <family val="2"/>
      <scheme val="minor"/>
    </font>
    <font>
      <b/>
      <sz val="11"/>
      <color indexed="8"/>
      <name val="Pero"/>
      <family val="2"/>
    </font>
    <font>
      <sz val="11"/>
      <color rgb="FF000000"/>
      <name val="Pero"/>
      <family val="2"/>
    </font>
    <font>
      <b/>
      <sz val="16"/>
      <color indexed="8"/>
      <name val="Pero"/>
      <family val="2"/>
    </font>
    <font>
      <b/>
      <sz val="14"/>
      <color theme="0"/>
      <name val="Pero"/>
      <family val="2"/>
    </font>
    <font>
      <b/>
      <sz val="11"/>
      <color theme="1"/>
      <name val="Pero ExtraBold"/>
      <family val="2"/>
    </font>
    <font>
      <sz val="11"/>
      <color theme="0"/>
      <name val="Pero"/>
      <family val="2"/>
    </font>
    <font>
      <sz val="8"/>
      <name val="Calibri"/>
      <family val="2"/>
      <scheme val="minor"/>
    </font>
    <font>
      <sz val="10"/>
      <color theme="1"/>
      <name val="Pero"/>
      <family val="2"/>
    </font>
    <font>
      <b/>
      <sz val="10"/>
      <color theme="1"/>
      <name val="Pero"/>
      <family val="2"/>
    </font>
    <font>
      <b/>
      <sz val="11"/>
      <color rgb="FF000000"/>
      <name val="Pero"/>
      <family val="2"/>
    </font>
    <font>
      <sz val="11"/>
      <color rgb="FF0000FF"/>
      <name val="Pero"/>
      <family val="2"/>
    </font>
    <font>
      <i/>
      <sz val="11"/>
      <color rgb="FF000000"/>
      <name val="Pero"/>
      <family val="2"/>
    </font>
    <font>
      <i/>
      <sz val="10"/>
      <color rgb="FF000000"/>
      <name val="Pero"/>
      <family val="2"/>
    </font>
    <font>
      <u/>
      <sz val="11"/>
      <color theme="10"/>
      <name val="Pero"/>
      <family val="2"/>
    </font>
    <font>
      <sz val="11"/>
      <name val="Pero"/>
      <family val="2"/>
    </font>
    <font>
      <sz val="11"/>
      <color rgb="FF3F3F76"/>
      <name val="Pero"/>
      <family val="2"/>
    </font>
    <font>
      <sz val="14"/>
      <color indexed="8"/>
      <name val="Pero ExtraBold"/>
      <family val="2"/>
    </font>
    <font>
      <sz val="11"/>
      <name val="Pero ExtraBold"/>
      <family val="2"/>
    </font>
    <font>
      <b/>
      <sz val="16"/>
      <color theme="1"/>
      <name val="Pero ExtraBold"/>
      <family val="2"/>
    </font>
    <font>
      <sz val="12"/>
      <color theme="1"/>
      <name val="Pero ExtraBold"/>
      <family val="2"/>
    </font>
    <font>
      <i/>
      <sz val="10"/>
      <color theme="1"/>
      <name val="Pero"/>
      <family val="2"/>
    </font>
    <font>
      <sz val="12"/>
      <color theme="1"/>
      <name val="Pero"/>
      <family val="2"/>
    </font>
  </fonts>
  <fills count="12">
    <fill>
      <patternFill patternType="none"/>
    </fill>
    <fill>
      <patternFill patternType="gray125"/>
    </fill>
    <fill>
      <patternFill patternType="solid">
        <fgColor theme="0" tint="-0.14999847407452621"/>
        <bgColor indexed="64"/>
      </patternFill>
    </fill>
    <fill>
      <patternFill patternType="solid">
        <fgColor theme="7" tint="0.79998168889431442"/>
        <bgColor indexed="64"/>
      </patternFill>
    </fill>
    <fill>
      <patternFill patternType="solid">
        <fgColor rgb="FFC8AFBE"/>
        <bgColor indexed="64"/>
      </patternFill>
    </fill>
    <fill>
      <patternFill patternType="solid">
        <fgColor theme="0"/>
        <bgColor indexed="64"/>
      </patternFill>
    </fill>
    <fill>
      <patternFill patternType="solid">
        <fgColor rgb="FFDCA591"/>
        <bgColor indexed="64"/>
      </patternFill>
    </fill>
    <fill>
      <patternFill patternType="solid">
        <fgColor rgb="FFCDD2B4"/>
        <bgColor indexed="64"/>
      </patternFill>
    </fill>
    <fill>
      <patternFill patternType="solid">
        <fgColor rgb="FFDBA490"/>
        <bgColor indexed="64"/>
      </patternFill>
    </fill>
    <fill>
      <patternFill patternType="solid">
        <fgColor rgb="FFFFCC99"/>
      </patternFill>
    </fill>
    <fill>
      <patternFill patternType="solid">
        <fgColor rgb="FFFFF2CC"/>
        <bgColor indexed="64"/>
      </patternFill>
    </fill>
    <fill>
      <patternFill patternType="solid">
        <fgColor rgb="FFE7E6E6"/>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style="thin">
        <color indexed="64"/>
      </top>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s>
  <cellStyleXfs count="6">
    <xf numFmtId="0" fontId="0" fillId="0" borderId="0"/>
    <xf numFmtId="43" fontId="2" fillId="0" borderId="0" applyFont="0" applyFill="0" applyBorder="0" applyAlignment="0" applyProtection="0"/>
    <xf numFmtId="0" fontId="4" fillId="0" borderId="0" applyNumberFormat="0" applyFill="0" applyBorder="0" applyAlignment="0" applyProtection="0"/>
    <xf numFmtId="9" fontId="2" fillId="0" borderId="0" applyFont="0" applyFill="0" applyBorder="0" applyAlignment="0" applyProtection="0"/>
    <xf numFmtId="0" fontId="13" fillId="0" borderId="0"/>
    <xf numFmtId="0" fontId="33" fillId="9" borderId="36" applyNumberFormat="0" applyAlignment="0" applyProtection="0"/>
  </cellStyleXfs>
  <cellXfs count="404">
    <xf numFmtId="0" fontId="0" fillId="0" borderId="0" xfId="0"/>
    <xf numFmtId="0" fontId="3" fillId="0" borderId="0" xfId="0" applyFont="1"/>
    <xf numFmtId="0" fontId="5" fillId="0" borderId="0" xfId="0" applyFont="1"/>
    <xf numFmtId="0" fontId="7" fillId="4" borderId="3" xfId="0" applyFont="1" applyFill="1" applyBorder="1"/>
    <xf numFmtId="0" fontId="7" fillId="4" borderId="3" xfId="0" applyFont="1" applyFill="1" applyBorder="1" applyAlignment="1">
      <alignment horizontal="left"/>
    </xf>
    <xf numFmtId="0" fontId="0" fillId="0" borderId="1" xfId="0" applyBorder="1"/>
    <xf numFmtId="0" fontId="14" fillId="3" borderId="0" xfId="4" applyFont="1" applyFill="1" applyAlignment="1">
      <alignment horizontal="left"/>
    </xf>
    <xf numFmtId="0" fontId="0" fillId="0" borderId="0" xfId="0" applyAlignment="1">
      <alignment vertical="center"/>
    </xf>
    <xf numFmtId="0" fontId="0" fillId="0" borderId="0" xfId="0" applyAlignment="1">
      <alignment horizontal="left" vertical="center"/>
    </xf>
    <xf numFmtId="0" fontId="0" fillId="0" borderId="9" xfId="0" applyBorder="1"/>
    <xf numFmtId="0" fontId="0" fillId="0" borderId="7" xfId="0" applyBorder="1"/>
    <xf numFmtId="0" fontId="14" fillId="3" borderId="9" xfId="4" applyFont="1" applyFill="1" applyBorder="1" applyAlignment="1">
      <alignment horizontal="left"/>
    </xf>
    <xf numFmtId="0" fontId="14" fillId="3" borderId="7" xfId="4" applyFont="1" applyFill="1" applyBorder="1" applyAlignment="1">
      <alignment horizontal="left"/>
    </xf>
    <xf numFmtId="0" fontId="14" fillId="0" borderId="0" xfId="4" applyFont="1" applyAlignment="1">
      <alignment horizontal="left"/>
    </xf>
    <xf numFmtId="0" fontId="8" fillId="0" borderId="1" xfId="0" applyFont="1" applyBorder="1" applyAlignment="1">
      <alignment vertical="center"/>
    </xf>
    <xf numFmtId="0" fontId="11" fillId="0" borderId="9" xfId="0" applyFont="1" applyBorder="1" applyAlignment="1">
      <alignment vertical="center" wrapText="1"/>
    </xf>
    <xf numFmtId="166" fontId="10" fillId="5" borderId="1" xfId="0" applyNumberFormat="1" applyFont="1" applyFill="1" applyBorder="1" applyAlignment="1">
      <alignment vertical="center" wrapText="1"/>
    </xf>
    <xf numFmtId="0" fontId="0" fillId="5" borderId="21" xfId="0" applyFill="1" applyBorder="1" applyAlignment="1">
      <alignment horizontal="left" vertical="center"/>
    </xf>
    <xf numFmtId="0" fontId="0" fillId="5" borderId="22" xfId="0" applyFill="1" applyBorder="1" applyAlignment="1">
      <alignment horizontal="left" vertical="center"/>
    </xf>
    <xf numFmtId="0" fontId="0" fillId="5" borderId="22" xfId="0" applyFill="1" applyBorder="1" applyAlignment="1">
      <alignment wrapText="1"/>
    </xf>
    <xf numFmtId="0" fontId="0" fillId="5" borderId="22" xfId="0" applyFill="1" applyBorder="1"/>
    <xf numFmtId="0" fontId="0" fillId="5" borderId="23" xfId="0" applyFill="1" applyBorder="1"/>
    <xf numFmtId="0" fontId="14" fillId="5" borderId="24" xfId="4" applyFont="1" applyFill="1" applyBorder="1" applyAlignment="1">
      <alignment horizontal="left"/>
    </xf>
    <xf numFmtId="0" fontId="20" fillId="2" borderId="0" xfId="4" applyFont="1" applyFill="1" applyAlignment="1">
      <alignment horizontal="left" vertical="center"/>
    </xf>
    <xf numFmtId="0" fontId="0" fillId="5" borderId="0" xfId="0" applyFill="1"/>
    <xf numFmtId="0" fontId="0" fillId="5" borderId="25" xfId="0" applyFill="1" applyBorder="1"/>
    <xf numFmtId="0" fontId="0" fillId="5" borderId="24" xfId="0" applyFill="1" applyBorder="1" applyAlignment="1">
      <alignment horizontal="left" vertical="center"/>
    </xf>
    <xf numFmtId="0" fontId="0" fillId="5" borderId="0" xfId="0" applyFill="1" applyAlignment="1">
      <alignment horizontal="left" vertical="center"/>
    </xf>
    <xf numFmtId="0" fontId="0" fillId="5" borderId="0" xfId="0" applyFill="1" applyAlignment="1">
      <alignment wrapText="1"/>
    </xf>
    <xf numFmtId="0" fontId="14" fillId="3" borderId="24" xfId="4" applyFont="1" applyFill="1" applyBorder="1" applyAlignment="1">
      <alignment horizontal="left" vertical="center"/>
    </xf>
    <xf numFmtId="0" fontId="14" fillId="3" borderId="0" xfId="4" applyFont="1" applyFill="1" applyAlignment="1">
      <alignment horizontal="left" vertical="center"/>
    </xf>
    <xf numFmtId="0" fontId="14" fillId="3" borderId="0" xfId="4" applyFont="1" applyFill="1" applyAlignment="1">
      <alignment horizontal="left" wrapText="1"/>
    </xf>
    <xf numFmtId="0" fontId="0" fillId="3" borderId="0" xfId="0" applyFill="1"/>
    <xf numFmtId="0" fontId="0" fillId="3" borderId="25" xfId="0" applyFill="1" applyBorder="1"/>
    <xf numFmtId="0" fontId="14" fillId="5" borderId="0" xfId="4" applyFont="1" applyFill="1" applyAlignment="1">
      <alignment horizontal="left" vertical="center"/>
    </xf>
    <xf numFmtId="0" fontId="14" fillId="5" borderId="0" xfId="4" applyFont="1" applyFill="1" applyAlignment="1">
      <alignment horizontal="left" wrapText="1"/>
    </xf>
    <xf numFmtId="0" fontId="14" fillId="5" borderId="0" xfId="4" applyFont="1" applyFill="1" applyAlignment="1">
      <alignment horizontal="left"/>
    </xf>
    <xf numFmtId="0" fontId="18" fillId="5" borderId="26" xfId="4" applyFont="1" applyFill="1" applyBorder="1" applyAlignment="1">
      <alignment horizontal="left" vertical="center"/>
    </xf>
    <xf numFmtId="0" fontId="14" fillId="5" borderId="26" xfId="4" applyFont="1" applyFill="1" applyBorder="1" applyAlignment="1">
      <alignment horizontal="left"/>
    </xf>
    <xf numFmtId="0" fontId="5" fillId="5" borderId="26" xfId="0" applyFont="1" applyFill="1" applyBorder="1" applyAlignment="1">
      <alignment horizontal="left" vertical="center"/>
    </xf>
    <xf numFmtId="0" fontId="4" fillId="5" borderId="26" xfId="2" applyFill="1" applyBorder="1" applyAlignment="1">
      <alignment wrapText="1"/>
    </xf>
    <xf numFmtId="0" fontId="5" fillId="5" borderId="0" xfId="0" applyFont="1" applyFill="1" applyAlignment="1">
      <alignment horizontal="left" vertical="center"/>
    </xf>
    <xf numFmtId="0" fontId="14" fillId="3" borderId="25" xfId="4" applyFont="1" applyFill="1" applyBorder="1" applyAlignment="1">
      <alignment horizontal="left"/>
    </xf>
    <xf numFmtId="0" fontId="14" fillId="5" borderId="24" xfId="4" applyFont="1" applyFill="1" applyBorder="1" applyAlignment="1">
      <alignment horizontal="left" vertical="center"/>
    </xf>
    <xf numFmtId="0" fontId="12" fillId="5" borderId="24" xfId="0" applyFont="1" applyFill="1" applyBorder="1" applyAlignment="1">
      <alignment horizontal="left" vertical="center"/>
    </xf>
    <xf numFmtId="0" fontId="12" fillId="2" borderId="26" xfId="0" applyFont="1" applyFill="1" applyBorder="1" applyAlignment="1">
      <alignment horizontal="left" vertical="center"/>
    </xf>
    <xf numFmtId="0" fontId="5" fillId="5" borderId="24" xfId="0" applyFont="1" applyFill="1" applyBorder="1" applyAlignment="1">
      <alignment horizontal="left" vertical="center"/>
    </xf>
    <xf numFmtId="0" fontId="0" fillId="0" borderId="0" xfId="0" applyAlignment="1">
      <alignment wrapText="1"/>
    </xf>
    <xf numFmtId="0" fontId="17" fillId="5" borderId="24" xfId="0" applyFont="1" applyFill="1" applyBorder="1" applyAlignment="1">
      <alignment horizontal="left" vertical="center"/>
    </xf>
    <xf numFmtId="0" fontId="17" fillId="5" borderId="0" xfId="0" applyFont="1" applyFill="1" applyAlignment="1">
      <alignment horizontal="left" vertical="center"/>
    </xf>
    <xf numFmtId="0" fontId="0" fillId="5" borderId="0" xfId="0" applyFill="1" applyAlignment="1">
      <alignment horizontal="left"/>
    </xf>
    <xf numFmtId="173" fontId="0" fillId="0" borderId="0" xfId="0" applyNumberFormat="1"/>
    <xf numFmtId="0" fontId="0" fillId="5" borderId="24" xfId="0" applyFill="1" applyBorder="1" applyAlignment="1">
      <alignment horizontal="left"/>
    </xf>
    <xf numFmtId="0" fontId="12" fillId="5" borderId="1" xfId="0" applyFont="1" applyFill="1" applyBorder="1" applyAlignment="1">
      <alignment horizontal="left"/>
    </xf>
    <xf numFmtId="0" fontId="0" fillId="5" borderId="27" xfId="0" applyFill="1" applyBorder="1" applyAlignment="1">
      <alignment horizontal="left" vertical="center"/>
    </xf>
    <xf numFmtId="0" fontId="0" fillId="5" borderId="28" xfId="0" applyFill="1" applyBorder="1" applyAlignment="1">
      <alignment horizontal="left" vertical="center"/>
    </xf>
    <xf numFmtId="0" fontId="0" fillId="5" borderId="28" xfId="0" applyFill="1" applyBorder="1" applyAlignment="1">
      <alignment wrapText="1"/>
    </xf>
    <xf numFmtId="0" fontId="0" fillId="5" borderId="28" xfId="0" applyFill="1" applyBorder="1"/>
    <xf numFmtId="0" fontId="0" fillId="5" borderId="29" xfId="0" applyFill="1" applyBorder="1"/>
    <xf numFmtId="0" fontId="0" fillId="0" borderId="30" xfId="0" applyBorder="1"/>
    <xf numFmtId="0" fontId="0" fillId="0" borderId="5" xfId="0" applyBorder="1"/>
    <xf numFmtId="0" fontId="0" fillId="0" borderId="19" xfId="0" applyBorder="1"/>
    <xf numFmtId="0" fontId="16" fillId="0" borderId="9" xfId="4" applyFont="1" applyBorder="1"/>
    <xf numFmtId="170" fontId="15" fillId="3" borderId="0" xfId="4" applyNumberFormat="1" applyFont="1" applyFill="1" applyAlignment="1">
      <alignment horizontal="center" wrapText="1"/>
    </xf>
    <xf numFmtId="0" fontId="15" fillId="3" borderId="0" xfId="4" applyFont="1" applyFill="1"/>
    <xf numFmtId="170" fontId="15" fillId="3" borderId="0" xfId="4" applyNumberFormat="1" applyFont="1" applyFill="1" applyAlignment="1">
      <alignment horizontal="center"/>
    </xf>
    <xf numFmtId="165" fontId="5" fillId="0" borderId="0" xfId="0" applyNumberFormat="1" applyFont="1"/>
    <xf numFmtId="168" fontId="0" fillId="0" borderId="0" xfId="0" applyNumberFormat="1"/>
    <xf numFmtId="0" fontId="10" fillId="0" borderId="0" xfId="0" applyFont="1" applyAlignment="1">
      <alignment horizontal="left" vertical="center"/>
    </xf>
    <xf numFmtId="0" fontId="11" fillId="0" borderId="0" xfId="0" applyFont="1" applyAlignment="1">
      <alignment vertical="center" wrapText="1"/>
    </xf>
    <xf numFmtId="0" fontId="25" fillId="5" borderId="26" xfId="0" applyFont="1" applyFill="1" applyBorder="1" applyAlignment="1">
      <alignment wrapText="1"/>
    </xf>
    <xf numFmtId="0" fontId="5" fillId="5" borderId="26" xfId="0" applyFont="1" applyFill="1" applyBorder="1" applyAlignment="1">
      <alignment horizontal="left" vertical="center" wrapText="1"/>
    </xf>
    <xf numFmtId="0" fontId="8" fillId="0" borderId="0" xfId="0" applyFont="1" applyAlignment="1">
      <alignment horizontal="left" vertical="center" wrapText="1"/>
    </xf>
    <xf numFmtId="0" fontId="8" fillId="3" borderId="0" xfId="0" applyFont="1" applyFill="1" applyAlignment="1">
      <alignment horizontal="left" vertical="center" wrapText="1"/>
    </xf>
    <xf numFmtId="0" fontId="10" fillId="3" borderId="0" xfId="0" applyFont="1" applyFill="1" applyAlignment="1">
      <alignment horizontal="left" vertical="center"/>
    </xf>
    <xf numFmtId="0" fontId="14" fillId="0" borderId="7" xfId="4" applyFont="1" applyBorder="1" applyAlignment="1">
      <alignment horizontal="left"/>
    </xf>
    <xf numFmtId="175" fontId="0" fillId="0" borderId="0" xfId="0" applyNumberFormat="1"/>
    <xf numFmtId="0" fontId="5" fillId="0" borderId="6" xfId="0" applyFont="1" applyBorder="1"/>
    <xf numFmtId="0" fontId="8" fillId="0" borderId="0" xfId="0" applyFont="1" applyAlignment="1">
      <alignment horizontal="center" vertical="center"/>
    </xf>
    <xf numFmtId="4" fontId="0" fillId="0" borderId="0" xfId="0" applyNumberFormat="1"/>
    <xf numFmtId="176" fontId="0" fillId="0" borderId="0" xfId="0" applyNumberFormat="1"/>
    <xf numFmtId="5" fontId="0" fillId="0" borderId="0" xfId="0" applyNumberFormat="1" applyAlignment="1">
      <alignment horizontal="left"/>
    </xf>
    <xf numFmtId="5" fontId="0" fillId="5" borderId="0" xfId="0" applyNumberFormat="1" applyFill="1" applyAlignment="1">
      <alignment horizontal="left" wrapText="1"/>
    </xf>
    <xf numFmtId="174" fontId="12" fillId="5" borderId="1" xfId="0" applyNumberFormat="1" applyFont="1" applyFill="1" applyBorder="1" applyAlignment="1">
      <alignment horizontal="left"/>
    </xf>
    <xf numFmtId="174" fontId="0" fillId="5" borderId="0" xfId="0" applyNumberFormat="1" applyFill="1"/>
    <xf numFmtId="0" fontId="4" fillId="0" borderId="0" xfId="2" applyFill="1" applyBorder="1" applyAlignment="1">
      <alignment vertical="center"/>
    </xf>
    <xf numFmtId="0" fontId="7" fillId="4" borderId="1" xfId="0" applyFont="1" applyFill="1" applyBorder="1"/>
    <xf numFmtId="0" fontId="5" fillId="0" borderId="1" xfId="0" applyFont="1" applyBorder="1"/>
    <xf numFmtId="0" fontId="7" fillId="4" borderId="18" xfId="0" applyFont="1" applyFill="1" applyBorder="1"/>
    <xf numFmtId="0" fontId="7" fillId="4" borderId="5" xfId="0" applyFont="1" applyFill="1" applyBorder="1"/>
    <xf numFmtId="3" fontId="10" fillId="0" borderId="0" xfId="0" applyNumberFormat="1" applyFont="1" applyAlignment="1">
      <alignment horizontal="left" vertical="center"/>
    </xf>
    <xf numFmtId="9" fontId="0" fillId="0" borderId="0" xfId="0" applyNumberFormat="1" applyAlignment="1">
      <alignment horizontal="left"/>
    </xf>
    <xf numFmtId="9" fontId="0" fillId="5" borderId="0" xfId="0" applyNumberFormat="1" applyFill="1"/>
    <xf numFmtId="166" fontId="21" fillId="7" borderId="26" xfId="0" applyNumberFormat="1" applyFont="1" applyFill="1" applyBorder="1" applyAlignment="1">
      <alignment horizontal="left" wrapText="1"/>
    </xf>
    <xf numFmtId="0" fontId="19" fillId="0" borderId="15" xfId="0" applyFont="1" applyBorder="1" applyAlignment="1">
      <alignment horizontal="left" vertical="center"/>
    </xf>
    <xf numFmtId="0" fontId="19" fillId="0" borderId="16" xfId="0" applyFont="1" applyBorder="1" applyAlignment="1">
      <alignment horizontal="left" vertical="center"/>
    </xf>
    <xf numFmtId="0" fontId="19" fillId="0" borderId="17" xfId="0" applyFont="1" applyBorder="1" applyAlignment="1">
      <alignment horizontal="left" vertical="center"/>
    </xf>
    <xf numFmtId="0" fontId="31" fillId="0" borderId="0" xfId="2" applyFont="1" applyBorder="1" applyAlignment="1">
      <alignment horizontal="left" vertical="center"/>
    </xf>
    <xf numFmtId="0" fontId="14" fillId="3" borderId="20" xfId="4" applyFont="1" applyFill="1" applyBorder="1" applyAlignment="1">
      <alignment horizontal="left"/>
    </xf>
    <xf numFmtId="0" fontId="34" fillId="3" borderId="30" xfId="4" applyFont="1" applyFill="1" applyBorder="1" applyAlignment="1">
      <alignment horizontal="left"/>
    </xf>
    <xf numFmtId="0" fontId="14" fillId="3" borderId="30" xfId="4" applyFont="1" applyFill="1" applyBorder="1" applyAlignment="1">
      <alignment horizontal="left"/>
    </xf>
    <xf numFmtId="0" fontId="14" fillId="3" borderId="8" xfId="4" applyFont="1" applyFill="1" applyBorder="1" applyAlignment="1">
      <alignment horizontal="left"/>
    </xf>
    <xf numFmtId="0" fontId="34" fillId="3" borderId="0" xfId="4" applyFont="1" applyFill="1" applyAlignment="1">
      <alignment horizontal="left"/>
    </xf>
    <xf numFmtId="1" fontId="32" fillId="0" borderId="14" xfId="0" applyNumberFormat="1" applyFont="1" applyBorder="1" applyAlignment="1">
      <alignment horizontal="left" vertical="center"/>
    </xf>
    <xf numFmtId="1" fontId="32" fillId="0" borderId="11" xfId="0" applyNumberFormat="1" applyFont="1" applyBorder="1" applyAlignment="1">
      <alignment horizontal="center" vertical="center"/>
    </xf>
    <xf numFmtId="1" fontId="32" fillId="0" borderId="12" xfId="0" applyNumberFormat="1" applyFont="1" applyBorder="1" applyAlignment="1">
      <alignment horizontal="center" vertical="center"/>
    </xf>
    <xf numFmtId="0" fontId="6" fillId="4" borderId="3" xfId="0" applyFont="1" applyFill="1" applyBorder="1" applyAlignment="1">
      <alignment horizontal="center" vertical="center"/>
    </xf>
    <xf numFmtId="0" fontId="19" fillId="0" borderId="1" xfId="0" applyFont="1" applyBorder="1" applyAlignment="1">
      <alignment horizontal="left" vertical="center" indent="1"/>
    </xf>
    <xf numFmtId="9" fontId="32" fillId="3" borderId="1" xfId="0" applyNumberFormat="1" applyFont="1" applyFill="1" applyBorder="1" applyAlignment="1">
      <alignment horizontal="center" vertical="center"/>
    </xf>
    <xf numFmtId="0" fontId="19" fillId="0" borderId="0" xfId="0" applyFont="1" applyAlignment="1">
      <alignment horizontal="left" vertical="center" indent="1"/>
    </xf>
    <xf numFmtId="0" fontId="19" fillId="0" borderId="1" xfId="0" applyFont="1" applyBorder="1" applyAlignment="1">
      <alignment vertical="center"/>
    </xf>
    <xf numFmtId="0" fontId="31" fillId="0" borderId="1" xfId="2" applyFont="1" applyFill="1" applyBorder="1" applyAlignment="1">
      <alignment vertical="center"/>
    </xf>
    <xf numFmtId="0" fontId="31" fillId="0" borderId="1" xfId="2" applyFont="1" applyBorder="1" applyAlignment="1">
      <alignment horizontal="left" vertical="center"/>
    </xf>
    <xf numFmtId="167" fontId="32" fillId="3" borderId="1" xfId="0" applyNumberFormat="1" applyFont="1" applyFill="1" applyBorder="1" applyAlignment="1">
      <alignment horizontal="center" vertical="center"/>
    </xf>
    <xf numFmtId="3" fontId="32" fillId="3" borderId="1" xfId="0" applyNumberFormat="1" applyFont="1" applyFill="1" applyBorder="1" applyAlignment="1">
      <alignment horizontal="center" vertical="center"/>
    </xf>
    <xf numFmtId="167" fontId="32" fillId="6" borderId="1" xfId="0" applyNumberFormat="1" applyFont="1" applyFill="1" applyBorder="1" applyAlignment="1">
      <alignment horizontal="center" vertical="center"/>
    </xf>
    <xf numFmtId="9" fontId="32" fillId="6" borderId="1" xfId="0" applyNumberFormat="1" applyFont="1" applyFill="1" applyBorder="1" applyAlignment="1">
      <alignment horizontal="center" vertical="center"/>
    </xf>
    <xf numFmtId="9" fontId="32" fillId="8" borderId="1" xfId="0" applyNumberFormat="1" applyFont="1" applyFill="1" applyBorder="1" applyAlignment="1">
      <alignment horizontal="center" vertical="center"/>
    </xf>
    <xf numFmtId="0" fontId="4" fillId="0" borderId="1" xfId="2" applyFill="1" applyBorder="1" applyAlignment="1">
      <alignment vertical="center"/>
    </xf>
    <xf numFmtId="4" fontId="32" fillId="3" borderId="1" xfId="0" applyNumberFormat="1" applyFont="1" applyFill="1" applyBorder="1" applyAlignment="1">
      <alignment horizontal="center" vertical="center"/>
    </xf>
    <xf numFmtId="175" fontId="32" fillId="3" borderId="1" xfId="0" applyNumberFormat="1" applyFont="1" applyFill="1" applyBorder="1" applyAlignment="1">
      <alignment horizontal="center" vertical="center"/>
    </xf>
    <xf numFmtId="9" fontId="32" fillId="3" borderId="1" xfId="0" applyNumberFormat="1" applyFont="1" applyFill="1" applyBorder="1" applyAlignment="1">
      <alignment horizontal="center" vertical="center" wrapText="1"/>
    </xf>
    <xf numFmtId="3" fontId="32" fillId="3" borderId="1" xfId="0" applyNumberFormat="1" applyFont="1" applyFill="1" applyBorder="1" applyAlignment="1">
      <alignment horizontal="center" vertical="center" wrapText="1"/>
    </xf>
    <xf numFmtId="0" fontId="19" fillId="0" borderId="1" xfId="0" applyFont="1" applyBorder="1" applyAlignment="1">
      <alignment horizontal="left" vertical="center"/>
    </xf>
    <xf numFmtId="0" fontId="19" fillId="0" borderId="1" xfId="0" applyFont="1" applyBorder="1"/>
    <xf numFmtId="0" fontId="6" fillId="4" borderId="3" xfId="0" applyFont="1" applyFill="1" applyBorder="1" applyAlignment="1">
      <alignment horizontal="left" vertical="center"/>
    </xf>
    <xf numFmtId="0" fontId="19" fillId="0" borderId="6" xfId="0" applyFont="1" applyBorder="1" applyAlignment="1">
      <alignment horizontal="left" vertical="center" indent="1"/>
    </xf>
    <xf numFmtId="0" fontId="19" fillId="0" borderId="4" xfId="0" applyFont="1" applyBorder="1" applyAlignment="1">
      <alignment horizontal="left" vertical="center" indent="1"/>
    </xf>
    <xf numFmtId="0" fontId="19" fillId="0" borderId="13" xfId="0" applyFont="1" applyBorder="1" applyAlignment="1">
      <alignment horizontal="left" vertical="center" indent="1"/>
    </xf>
    <xf numFmtId="0" fontId="19" fillId="0" borderId="13" xfId="0" applyFont="1" applyBorder="1" applyAlignment="1">
      <alignment horizontal="left" vertical="center"/>
    </xf>
    <xf numFmtId="0" fontId="19" fillId="0" borderId="4" xfId="0" applyFont="1" applyBorder="1" applyAlignment="1">
      <alignment horizontal="left" vertical="center"/>
    </xf>
    <xf numFmtId="0" fontId="19" fillId="0" borderId="6" xfId="0" applyFont="1" applyBorder="1" applyAlignment="1">
      <alignment horizontal="center" vertical="center"/>
    </xf>
    <xf numFmtId="175" fontId="32" fillId="3" borderId="1" xfId="3" applyNumberFormat="1" applyFont="1" applyFill="1" applyBorder="1" applyAlignment="1">
      <alignment horizontal="center" vertical="center"/>
    </xf>
    <xf numFmtId="1" fontId="32" fillId="3" borderId="4" xfId="0" applyNumberFormat="1" applyFont="1" applyFill="1" applyBorder="1" applyAlignment="1">
      <alignment horizontal="center" vertical="center"/>
    </xf>
    <xf numFmtId="175" fontId="32" fillId="0" borderId="1" xfId="3" applyNumberFormat="1" applyFont="1" applyFill="1" applyBorder="1" applyAlignment="1">
      <alignment horizontal="center" vertical="center"/>
    </xf>
    <xf numFmtId="3" fontId="19" fillId="0" borderId="1" xfId="0" applyNumberFormat="1" applyFont="1" applyBorder="1" applyAlignment="1">
      <alignment horizontal="center" vertical="center"/>
    </xf>
    <xf numFmtId="9" fontId="19" fillId="0" borderId="1" xfId="0" applyNumberFormat="1" applyFont="1" applyBorder="1" applyAlignment="1">
      <alignment horizontal="center" vertical="center"/>
    </xf>
    <xf numFmtId="0" fontId="6" fillId="4" borderId="1" xfId="0" applyFont="1" applyFill="1" applyBorder="1" applyAlignment="1">
      <alignment horizontal="left" vertical="center"/>
    </xf>
    <xf numFmtId="0" fontId="6" fillId="4" borderId="1" xfId="0" applyFont="1" applyFill="1" applyBorder="1" applyAlignment="1">
      <alignment horizontal="center" vertical="center"/>
    </xf>
    <xf numFmtId="0" fontId="19" fillId="0" borderId="1" xfId="4" applyFont="1" applyBorder="1" applyAlignment="1">
      <alignment horizontal="left" vertical="center" indent="1"/>
    </xf>
    <xf numFmtId="166" fontId="28" fillId="0" borderId="1" xfId="0" applyNumberFormat="1" applyFont="1" applyBorder="1" applyAlignment="1">
      <alignment horizontal="center" vertical="center"/>
    </xf>
    <xf numFmtId="166" fontId="32" fillId="6" borderId="1" xfId="0" applyNumberFormat="1" applyFont="1" applyFill="1" applyBorder="1" applyAlignment="1">
      <alignment horizontal="center" vertical="center"/>
    </xf>
    <xf numFmtId="167" fontId="32" fillId="0" borderId="1" xfId="4" applyNumberFormat="1" applyFont="1" applyBorder="1" applyAlignment="1">
      <alignment horizontal="left" vertical="center"/>
    </xf>
    <xf numFmtId="0" fontId="19" fillId="0" borderId="1" xfId="0" applyFont="1" applyBorder="1" applyAlignment="1">
      <alignment horizontal="right" vertical="center"/>
    </xf>
    <xf numFmtId="166" fontId="32" fillId="3" borderId="1" xfId="4" applyNumberFormat="1" applyFont="1" applyFill="1" applyBorder="1" applyAlignment="1">
      <alignment horizontal="center" vertical="center"/>
    </xf>
    <xf numFmtId="166" fontId="32" fillId="3" borderId="1" xfId="0" applyNumberFormat="1" applyFont="1" applyFill="1" applyBorder="1" applyAlignment="1">
      <alignment horizontal="center" vertical="center"/>
    </xf>
    <xf numFmtId="0" fontId="19" fillId="0" borderId="0" xfId="4" applyFont="1" applyAlignment="1">
      <alignment horizontal="left" vertical="center" indent="1"/>
    </xf>
    <xf numFmtId="167" fontId="32" fillId="0" borderId="0" xfId="4" applyNumberFormat="1" applyFont="1" applyAlignment="1">
      <alignment horizontal="left" vertical="center"/>
    </xf>
    <xf numFmtId="166" fontId="28" fillId="0" borderId="0" xfId="0" applyNumberFormat="1" applyFont="1" applyAlignment="1">
      <alignment horizontal="center" vertical="center"/>
    </xf>
    <xf numFmtId="0" fontId="31" fillId="0" borderId="1" xfId="2" applyFont="1" applyBorder="1"/>
    <xf numFmtId="177" fontId="32" fillId="3" borderId="1" xfId="0" applyNumberFormat="1" applyFont="1" applyFill="1" applyBorder="1" applyAlignment="1">
      <alignment horizontal="center" vertical="center"/>
    </xf>
    <xf numFmtId="0" fontId="27" fillId="0" borderId="0" xfId="0" applyFont="1" applyAlignment="1">
      <alignment horizontal="left" vertical="center"/>
    </xf>
    <xf numFmtId="0" fontId="0" fillId="3" borderId="0" xfId="0" applyFill="1" applyAlignment="1">
      <alignment vertical="center"/>
    </xf>
    <xf numFmtId="0" fontId="27" fillId="0" borderId="0" xfId="0" applyFont="1"/>
    <xf numFmtId="169" fontId="29" fillId="0" borderId="0" xfId="0" applyNumberFormat="1" applyFont="1" applyAlignment="1">
      <alignment horizontal="right"/>
    </xf>
    <xf numFmtId="0" fontId="19" fillId="0" borderId="7" xfId="0" applyFont="1" applyBorder="1" applyAlignment="1">
      <alignment horizontal="left" vertical="center"/>
    </xf>
    <xf numFmtId="9" fontId="28" fillId="0" borderId="0" xfId="0" applyNumberFormat="1" applyFont="1" applyAlignment="1">
      <alignment horizontal="center" vertical="center"/>
    </xf>
    <xf numFmtId="0" fontId="19" fillId="0" borderId="7" xfId="0" applyFont="1" applyBorder="1" applyAlignment="1">
      <alignment horizontal="right" vertical="center"/>
    </xf>
    <xf numFmtId="0" fontId="30" fillId="0" borderId="5" xfId="0" applyFont="1" applyBorder="1"/>
    <xf numFmtId="0" fontId="19" fillId="0" borderId="5" xfId="4" applyFont="1" applyBorder="1" applyAlignment="1">
      <alignment horizontal="left" vertical="center" indent="1"/>
    </xf>
    <xf numFmtId="0" fontId="31" fillId="0" borderId="5" xfId="2" applyFont="1" applyBorder="1" applyAlignment="1">
      <alignment horizontal="left" vertical="center"/>
    </xf>
    <xf numFmtId="0" fontId="9" fillId="3" borderId="0" xfId="4" applyFont="1" applyFill="1" applyAlignment="1">
      <alignment horizontal="left"/>
    </xf>
    <xf numFmtId="0" fontId="19" fillId="0" borderId="13" xfId="0" applyFont="1" applyBorder="1" applyAlignment="1">
      <alignment horizontal="center" vertical="center" wrapText="1"/>
    </xf>
    <xf numFmtId="0" fontId="19" fillId="3" borderId="6" xfId="0" applyFont="1" applyFill="1" applyBorder="1" applyAlignment="1">
      <alignment horizontal="center" vertical="center" wrapText="1"/>
    </xf>
    <xf numFmtId="0" fontId="19" fillId="0" borderId="6" xfId="0" applyFont="1" applyBorder="1" applyAlignment="1">
      <alignment horizontal="center" vertical="center" wrapText="1"/>
    </xf>
    <xf numFmtId="0" fontId="19" fillId="0" borderId="6" xfId="0" quotePrefix="1" applyFont="1" applyBorder="1" applyAlignment="1">
      <alignment horizontal="center" vertical="center" wrapText="1"/>
    </xf>
    <xf numFmtId="175" fontId="19" fillId="0" borderId="6" xfId="0" applyNumberFormat="1" applyFont="1" applyBorder="1" applyAlignment="1">
      <alignment horizontal="center" vertical="center" wrapText="1"/>
    </xf>
    <xf numFmtId="175" fontId="19" fillId="0" borderId="1" xfId="0" applyNumberFormat="1" applyFont="1" applyBorder="1" applyAlignment="1">
      <alignment horizontal="center" vertical="center" wrapText="1"/>
    </xf>
    <xf numFmtId="0" fontId="11" fillId="0" borderId="0" xfId="0" applyFont="1"/>
    <xf numFmtId="0" fontId="9" fillId="0" borderId="0" xfId="4" applyFont="1" applyAlignment="1">
      <alignment horizontal="left"/>
    </xf>
    <xf numFmtId="170" fontId="15" fillId="0" borderId="0" xfId="4" applyNumberFormat="1" applyFont="1" applyAlignment="1">
      <alignment horizontal="center" wrapText="1"/>
    </xf>
    <xf numFmtId="0" fontId="15" fillId="0" borderId="0" xfId="4" applyFont="1"/>
    <xf numFmtId="170" fontId="15" fillId="0" borderId="0" xfId="4" applyNumberFormat="1" applyFont="1" applyAlignment="1">
      <alignment horizontal="center"/>
    </xf>
    <xf numFmtId="0" fontId="36" fillId="0" borderId="0" xfId="0" applyFont="1"/>
    <xf numFmtId="175" fontId="5" fillId="0" borderId="1" xfId="0" applyNumberFormat="1" applyFont="1" applyBorder="1" applyAlignment="1">
      <alignment horizontal="center" vertical="center"/>
    </xf>
    <xf numFmtId="0" fontId="7" fillId="4" borderId="3" xfId="0" applyFont="1" applyFill="1" applyBorder="1" applyAlignment="1">
      <alignment horizontal="center"/>
    </xf>
    <xf numFmtId="165" fontId="6" fillId="11" borderId="31" xfId="0" applyNumberFormat="1" applyFont="1" applyFill="1" applyBorder="1" applyAlignment="1">
      <alignment horizontal="center" vertical="center"/>
    </xf>
    <xf numFmtId="165" fontId="6" fillId="11" borderId="3" xfId="0" applyNumberFormat="1" applyFont="1" applyFill="1" applyBorder="1" applyAlignment="1">
      <alignment horizontal="center" vertical="center"/>
    </xf>
    <xf numFmtId="0" fontId="37" fillId="4" borderId="3" xfId="0" applyFont="1" applyFill="1" applyBorder="1" applyAlignment="1">
      <alignment horizontal="center" vertical="center"/>
    </xf>
    <xf numFmtId="175" fontId="5" fillId="11" borderId="6" xfId="0" applyNumberFormat="1" applyFont="1" applyFill="1" applyBorder="1" applyAlignment="1">
      <alignment horizontal="center"/>
    </xf>
    <xf numFmtId="0" fontId="22" fillId="4" borderId="1" xfId="0" applyFont="1" applyFill="1" applyBorder="1" applyAlignment="1">
      <alignment horizontal="center" vertical="center"/>
    </xf>
    <xf numFmtId="0" fontId="14" fillId="0" borderId="5" xfId="4" applyFont="1" applyBorder="1" applyAlignment="1">
      <alignment horizontal="left"/>
    </xf>
    <xf numFmtId="0" fontId="14" fillId="10" borderId="30" xfId="4" applyFont="1" applyFill="1" applyBorder="1" applyAlignment="1">
      <alignment horizontal="left"/>
    </xf>
    <xf numFmtId="0" fontId="5" fillId="4" borderId="1" xfId="0" applyFont="1" applyFill="1" applyBorder="1" applyAlignment="1">
      <alignment horizontal="center"/>
    </xf>
    <xf numFmtId="0" fontId="5" fillId="4" borderId="1" xfId="0" applyFont="1" applyFill="1" applyBorder="1" applyAlignment="1">
      <alignment horizontal="left"/>
    </xf>
    <xf numFmtId="9" fontId="32" fillId="3" borderId="1" xfId="0" applyNumberFormat="1" applyFont="1" applyFill="1" applyBorder="1" applyAlignment="1">
      <alignment horizontal="center"/>
    </xf>
    <xf numFmtId="0" fontId="32" fillId="0" borderId="1" xfId="0" applyFont="1" applyBorder="1"/>
    <xf numFmtId="170" fontId="16" fillId="0" borderId="1" xfId="4" applyNumberFormat="1" applyFont="1" applyBorder="1" applyAlignment="1">
      <alignment horizontal="left" wrapText="1"/>
    </xf>
    <xf numFmtId="9" fontId="32" fillId="0" borderId="1" xfId="4" applyNumberFormat="1" applyFont="1" applyBorder="1" applyAlignment="1">
      <alignment horizontal="center"/>
    </xf>
    <xf numFmtId="0" fontId="16" fillId="0" borderId="1" xfId="4" applyFont="1" applyBorder="1" applyAlignment="1">
      <alignment horizontal="left"/>
    </xf>
    <xf numFmtId="9" fontId="32" fillId="3" borderId="1" xfId="4" applyNumberFormat="1" applyFont="1" applyFill="1" applyBorder="1" applyAlignment="1">
      <alignment horizontal="center"/>
    </xf>
    <xf numFmtId="166" fontId="16" fillId="0" borderId="1" xfId="4" applyNumberFormat="1" applyFont="1" applyBorder="1" applyAlignment="1">
      <alignment horizontal="center" wrapText="1"/>
    </xf>
    <xf numFmtId="0" fontId="8" fillId="0" borderId="30" xfId="0" applyFont="1" applyBorder="1" applyAlignment="1">
      <alignment horizontal="center" vertical="center"/>
    </xf>
    <xf numFmtId="0" fontId="0" fillId="0" borderId="34" xfId="0" applyBorder="1"/>
    <xf numFmtId="0" fontId="9" fillId="3" borderId="0" xfId="4" applyFont="1" applyFill="1" applyAlignment="1">
      <alignment horizontal="left" vertical="center"/>
    </xf>
    <xf numFmtId="0" fontId="39" fillId="0" borderId="1" xfId="0" applyFont="1" applyBorder="1" applyAlignment="1">
      <alignment vertical="center"/>
    </xf>
    <xf numFmtId="168" fontId="39" fillId="0" borderId="1" xfId="0" applyNumberFormat="1" applyFont="1" applyBorder="1" applyAlignment="1">
      <alignment vertical="center"/>
    </xf>
    <xf numFmtId="168" fontId="37" fillId="0" borderId="1" xfId="0" applyNumberFormat="1" applyFont="1" applyBorder="1" applyAlignment="1">
      <alignment vertical="center"/>
    </xf>
    <xf numFmtId="0" fontId="37" fillId="0" borderId="1" xfId="0" applyFont="1" applyBorder="1" applyAlignment="1">
      <alignment vertical="center"/>
    </xf>
    <xf numFmtId="9" fontId="37" fillId="0" borderId="1" xfId="0" applyNumberFormat="1" applyFont="1" applyBorder="1" applyAlignment="1">
      <alignment vertical="center"/>
    </xf>
    <xf numFmtId="0" fontId="14" fillId="0" borderId="9" xfId="4" applyFont="1" applyBorder="1" applyAlignment="1">
      <alignment horizontal="left"/>
    </xf>
    <xf numFmtId="0" fontId="7" fillId="0" borderId="0" xfId="0" applyFont="1" applyAlignment="1">
      <alignment horizontal="right"/>
    </xf>
    <xf numFmtId="3" fontId="6" fillId="0" borderId="0" xfId="0" applyNumberFormat="1" applyFont="1"/>
    <xf numFmtId="164" fontId="6" fillId="0" borderId="0" xfId="0" applyNumberFormat="1" applyFont="1"/>
    <xf numFmtId="0" fontId="8" fillId="0" borderId="9" xfId="0" applyFont="1" applyBorder="1" applyAlignment="1">
      <alignment horizontal="left" vertical="center" wrapText="1"/>
    </xf>
    <xf numFmtId="175" fontId="0" fillId="0" borderId="9" xfId="0" applyNumberFormat="1" applyBorder="1"/>
    <xf numFmtId="9" fontId="5" fillId="0" borderId="0" xfId="0" applyNumberFormat="1" applyFont="1"/>
    <xf numFmtId="166" fontId="5" fillId="0" borderId="0" xfId="0" applyNumberFormat="1" applyFont="1"/>
    <xf numFmtId="0" fontId="32" fillId="0" borderId="0" xfId="0" applyFont="1"/>
    <xf numFmtId="0" fontId="19" fillId="0" borderId="3" xfId="0" applyFont="1" applyBorder="1" applyAlignment="1">
      <alignment vertical="center" wrapText="1"/>
    </xf>
    <xf numFmtId="0" fontId="19" fillId="0" borderId="31" xfId="0" applyFont="1" applyBorder="1" applyAlignment="1">
      <alignment vertical="center"/>
    </xf>
    <xf numFmtId="170" fontId="15" fillId="3" borderId="30" xfId="4" applyNumberFormat="1" applyFont="1" applyFill="1" applyBorder="1" applyAlignment="1">
      <alignment horizontal="center" wrapText="1"/>
    </xf>
    <xf numFmtId="0" fontId="15" fillId="3" borderId="30" xfId="4" applyFont="1" applyFill="1" applyBorder="1"/>
    <xf numFmtId="170" fontId="15" fillId="3" borderId="30" xfId="4" applyNumberFormat="1" applyFont="1" applyFill="1" applyBorder="1" applyAlignment="1">
      <alignment horizontal="center"/>
    </xf>
    <xf numFmtId="0" fontId="38" fillId="0" borderId="0" xfId="0" applyFont="1"/>
    <xf numFmtId="2" fontId="14" fillId="0" borderId="0" xfId="4" applyNumberFormat="1" applyFont="1"/>
    <xf numFmtId="9" fontId="0" fillId="0" borderId="0" xfId="0" applyNumberFormat="1"/>
    <xf numFmtId="166" fontId="23" fillId="0" borderId="0" xfId="0" applyNumberFormat="1" applyFont="1"/>
    <xf numFmtId="166" fontId="5" fillId="7" borderId="0" xfId="0" applyNumberFormat="1" applyFont="1" applyFill="1"/>
    <xf numFmtId="0" fontId="31" fillId="5" borderId="26" xfId="2" applyFont="1" applyFill="1" applyBorder="1" applyAlignment="1">
      <alignment wrapText="1"/>
    </xf>
    <xf numFmtId="0" fontId="31" fillId="5" borderId="26" xfId="2" applyFont="1" applyFill="1" applyBorder="1"/>
    <xf numFmtId="0" fontId="5" fillId="5" borderId="1" xfId="0" applyFont="1" applyFill="1" applyBorder="1" applyAlignment="1">
      <alignment horizontal="left" vertical="center" wrapText="1"/>
    </xf>
    <xf numFmtId="0" fontId="5" fillId="5" borderId="1" xfId="0" applyFont="1" applyFill="1" applyBorder="1" applyAlignment="1">
      <alignment horizontal="left" vertical="center"/>
    </xf>
    <xf numFmtId="0" fontId="1" fillId="3" borderId="0" xfId="0" applyFont="1" applyFill="1"/>
    <xf numFmtId="0" fontId="1" fillId="5" borderId="24" xfId="0" applyFont="1" applyFill="1" applyBorder="1"/>
    <xf numFmtId="0" fontId="1" fillId="5" borderId="0" xfId="0" applyFont="1" applyFill="1"/>
    <xf numFmtId="0" fontId="1" fillId="5" borderId="26" xfId="0" applyFont="1" applyFill="1" applyBorder="1" applyAlignment="1">
      <alignment wrapText="1"/>
    </xf>
    <xf numFmtId="0" fontId="1" fillId="5" borderId="26" xfId="0" applyFont="1" applyFill="1" applyBorder="1"/>
    <xf numFmtId="0" fontId="1" fillId="5" borderId="26" xfId="0" quotePrefix="1" applyFont="1" applyFill="1" applyBorder="1" applyAlignment="1">
      <alignment wrapText="1"/>
    </xf>
    <xf numFmtId="172" fontId="1" fillId="5" borderId="1" xfId="1" applyNumberFormat="1" applyFont="1" applyFill="1" applyBorder="1" applyAlignment="1">
      <alignment horizontal="left" vertical="center" wrapText="1"/>
    </xf>
    <xf numFmtId="174" fontId="1" fillId="5" borderId="26" xfId="0" applyNumberFormat="1" applyFont="1" applyFill="1" applyBorder="1" applyAlignment="1">
      <alignment horizontal="left" vertical="center" wrapText="1"/>
    </xf>
    <xf numFmtId="172" fontId="1" fillId="5" borderId="1" xfId="1" applyNumberFormat="1" applyFont="1" applyFill="1" applyBorder="1" applyAlignment="1">
      <alignment horizontal="left" vertical="center"/>
    </xf>
    <xf numFmtId="17" fontId="1" fillId="5" borderId="26" xfId="0" applyNumberFormat="1" applyFont="1" applyFill="1" applyBorder="1" applyAlignment="1">
      <alignment horizontal="left" wrapText="1"/>
    </xf>
    <xf numFmtId="17" fontId="1" fillId="5" borderId="0" xfId="0" applyNumberFormat="1" applyFont="1" applyFill="1" applyAlignment="1">
      <alignment horizontal="left" wrapText="1"/>
    </xf>
    <xf numFmtId="0" fontId="1" fillId="5" borderId="0" xfId="0" applyFont="1" applyFill="1" applyAlignment="1">
      <alignment wrapText="1"/>
    </xf>
    <xf numFmtId="0" fontId="1" fillId="5" borderId="1" xfId="0" applyFont="1" applyFill="1" applyBorder="1" applyAlignment="1">
      <alignment vertical="center" wrapText="1"/>
    </xf>
    <xf numFmtId="166" fontId="1" fillId="5" borderId="1" xfId="0" applyNumberFormat="1" applyFont="1" applyFill="1" applyBorder="1" applyAlignment="1">
      <alignment horizontal="left" wrapText="1"/>
    </xf>
    <xf numFmtId="0" fontId="1" fillId="5" borderId="24" xfId="0" applyFont="1" applyFill="1" applyBorder="1" applyAlignment="1">
      <alignment horizontal="left" vertical="center"/>
    </xf>
    <xf numFmtId="0" fontId="1" fillId="5" borderId="0" xfId="0" applyFont="1" applyFill="1" applyAlignment="1">
      <alignment horizontal="left" vertical="center"/>
    </xf>
    <xf numFmtId="0" fontId="19" fillId="3" borderId="0" xfId="4" applyFont="1" applyFill="1" applyAlignment="1">
      <alignment horizontal="left" vertical="center"/>
    </xf>
    <xf numFmtId="0" fontId="19" fillId="3" borderId="0" xfId="0" applyFont="1" applyFill="1" applyAlignment="1">
      <alignment horizontal="left" vertical="center"/>
    </xf>
    <xf numFmtId="0" fontId="19" fillId="3" borderId="7" xfId="0" applyFont="1" applyFill="1" applyBorder="1" applyAlignment="1">
      <alignment horizontal="left" vertical="center"/>
    </xf>
    <xf numFmtId="0" fontId="19" fillId="0" borderId="0" xfId="0" applyFont="1"/>
    <xf numFmtId="0" fontId="19" fillId="0" borderId="7" xfId="0" applyFont="1" applyBorder="1"/>
    <xf numFmtId="0" fontId="19" fillId="0" borderId="0" xfId="4" applyFont="1"/>
    <xf numFmtId="0" fontId="19" fillId="0" borderId="0" xfId="4" applyFont="1" applyAlignment="1">
      <alignment horizontal="left"/>
    </xf>
    <xf numFmtId="170" fontId="19" fillId="0" borderId="0" xfId="4" applyNumberFormat="1" applyFont="1" applyAlignment="1">
      <alignment horizontal="center"/>
    </xf>
    <xf numFmtId="0" fontId="19" fillId="0" borderId="0" xfId="0" applyFont="1" applyAlignment="1">
      <alignment horizontal="left"/>
    </xf>
    <xf numFmtId="175" fontId="19" fillId="0" borderId="1" xfId="1" applyNumberFormat="1" applyFont="1" applyFill="1" applyBorder="1" applyAlignment="1">
      <alignment horizontal="center" vertical="center"/>
    </xf>
    <xf numFmtId="0" fontId="19" fillId="0" borderId="1" xfId="0" applyFont="1" applyBorder="1" applyAlignment="1">
      <alignment horizontal="left"/>
    </xf>
    <xf numFmtId="175" fontId="19" fillId="0" borderId="0" xfId="1" applyNumberFormat="1" applyFont="1" applyFill="1" applyBorder="1" applyAlignment="1">
      <alignment horizontal="center" vertical="center"/>
    </xf>
    <xf numFmtId="0" fontId="19" fillId="0" borderId="0" xfId="0" applyFont="1" applyAlignment="1">
      <alignment vertical="center"/>
    </xf>
    <xf numFmtId="9" fontId="19" fillId="0" borderId="0" xfId="1" applyNumberFormat="1" applyFont="1" applyFill="1" applyBorder="1" applyAlignment="1"/>
    <xf numFmtId="0" fontId="19" fillId="0" borderId="1" xfId="0" quotePrefix="1" applyFont="1" applyBorder="1" applyAlignment="1">
      <alignment vertical="center"/>
    </xf>
    <xf numFmtId="175" fontId="19" fillId="0" borderId="0" xfId="0" applyNumberFormat="1" applyFont="1" applyAlignment="1">
      <alignment vertical="center"/>
    </xf>
    <xf numFmtId="175" fontId="19" fillId="0" borderId="0" xfId="1" applyNumberFormat="1" applyFont="1" applyFill="1" applyBorder="1" applyAlignment="1"/>
    <xf numFmtId="0" fontId="19" fillId="0" borderId="0" xfId="0" applyFont="1" applyAlignment="1">
      <alignment horizontal="left" vertical="center" wrapText="1"/>
    </xf>
    <xf numFmtId="9" fontId="19" fillId="0" borderId="0" xfId="0" applyNumberFormat="1" applyFont="1" applyAlignment="1">
      <alignment horizontal="right" vertical="center"/>
    </xf>
    <xf numFmtId="175" fontId="19" fillId="0" borderId="0" xfId="0" applyNumberFormat="1" applyFont="1" applyAlignment="1">
      <alignment horizontal="left" vertical="center" wrapText="1"/>
    </xf>
    <xf numFmtId="0" fontId="19" fillId="0" borderId="0" xfId="0" applyFont="1" applyAlignment="1">
      <alignment horizontal="left" vertical="center"/>
    </xf>
    <xf numFmtId="0" fontId="19" fillId="0" borderId="0" xfId="0" applyFont="1" applyAlignment="1">
      <alignment wrapText="1"/>
    </xf>
    <xf numFmtId="3" fontId="19" fillId="0" borderId="0" xfId="0" applyNumberFormat="1" applyFont="1" applyAlignment="1">
      <alignment vertical="center"/>
    </xf>
    <xf numFmtId="0" fontId="27" fillId="0" borderId="0" xfId="0" applyFont="1" applyAlignment="1">
      <alignment horizontal="left" vertical="center" wrapText="1"/>
    </xf>
    <xf numFmtId="175" fontId="19" fillId="8" borderId="1" xfId="0" applyNumberFormat="1" applyFont="1" applyFill="1" applyBorder="1" applyAlignment="1">
      <alignment horizontal="center" vertical="center"/>
    </xf>
    <xf numFmtId="175" fontId="19" fillId="0" borderId="4" xfId="3" applyNumberFormat="1" applyFont="1" applyFill="1" applyBorder="1" applyAlignment="1">
      <alignment horizontal="center" vertical="center"/>
    </xf>
    <xf numFmtId="175" fontId="19" fillId="8" borderId="4" xfId="3" applyNumberFormat="1" applyFont="1" applyFill="1" applyBorder="1" applyAlignment="1">
      <alignment horizontal="center" vertical="center"/>
    </xf>
    <xf numFmtId="1" fontId="19" fillId="0" borderId="13" xfId="0" applyNumberFormat="1" applyFont="1" applyBorder="1" applyAlignment="1">
      <alignment horizontal="center" vertical="center"/>
    </xf>
    <xf numFmtId="1" fontId="19" fillId="0" borderId="13" xfId="3" applyNumberFormat="1" applyFont="1" applyFill="1" applyBorder="1" applyAlignment="1">
      <alignment horizontal="center" vertical="center"/>
    </xf>
    <xf numFmtId="1" fontId="19" fillId="8" borderId="13" xfId="3" applyNumberFormat="1" applyFont="1" applyFill="1" applyBorder="1" applyAlignment="1">
      <alignment horizontal="center" vertical="center"/>
    </xf>
    <xf numFmtId="1" fontId="19" fillId="0" borderId="4" xfId="0" applyNumberFormat="1" applyFont="1" applyBorder="1" applyAlignment="1">
      <alignment horizontal="center" vertical="center"/>
    </xf>
    <xf numFmtId="1" fontId="19" fillId="3" borderId="4" xfId="0" applyNumberFormat="1" applyFont="1" applyFill="1" applyBorder="1" applyAlignment="1">
      <alignment horizontal="center" vertical="center"/>
    </xf>
    <xf numFmtId="1" fontId="19" fillId="8" borderId="4" xfId="0" applyNumberFormat="1" applyFont="1" applyFill="1" applyBorder="1" applyAlignment="1">
      <alignment horizontal="center" vertical="center"/>
    </xf>
    <xf numFmtId="1" fontId="19" fillId="8" borderId="13" xfId="0" applyNumberFormat="1" applyFont="1" applyFill="1" applyBorder="1" applyAlignment="1">
      <alignment horizontal="center" vertical="center"/>
    </xf>
    <xf numFmtId="175" fontId="19" fillId="0" borderId="6" xfId="0" applyNumberFormat="1" applyFont="1" applyBorder="1" applyAlignment="1">
      <alignment horizontal="center" vertical="center"/>
    </xf>
    <xf numFmtId="175" fontId="19" fillId="8" borderId="6" xfId="0" applyNumberFormat="1" applyFont="1" applyFill="1" applyBorder="1" applyAlignment="1">
      <alignment horizontal="center" vertical="center"/>
    </xf>
    <xf numFmtId="175" fontId="19" fillId="0" borderId="1" xfId="0" applyNumberFormat="1" applyFont="1" applyBorder="1" applyAlignment="1">
      <alignment horizontal="center" vertical="center"/>
    </xf>
    <xf numFmtId="175" fontId="19" fillId="0" borderId="0" xfId="0" applyNumberFormat="1" applyFont="1" applyAlignment="1">
      <alignment horizontal="center" vertical="center"/>
    </xf>
    <xf numFmtId="175" fontId="19" fillId="0" borderId="7" xfId="0" applyNumberFormat="1" applyFont="1" applyBorder="1" applyAlignment="1">
      <alignment horizontal="center" vertical="center"/>
    </xf>
    <xf numFmtId="175" fontId="28" fillId="0" borderId="0" xfId="0" applyNumberFormat="1" applyFont="1" applyAlignment="1">
      <alignment horizontal="center" vertical="center"/>
    </xf>
    <xf numFmtId="175" fontId="28" fillId="0" borderId="1" xfId="3" applyNumberFormat="1" applyFont="1" applyFill="1" applyBorder="1" applyAlignment="1">
      <alignment horizontal="center" vertical="center"/>
    </xf>
    <xf numFmtId="3" fontId="19" fillId="0" borderId="1" xfId="0" applyNumberFormat="1" applyFont="1" applyBorder="1" applyAlignment="1">
      <alignment horizontal="center"/>
    </xf>
    <xf numFmtId="0" fontId="27" fillId="0" borderId="1" xfId="0" applyFont="1" applyBorder="1" applyAlignment="1">
      <alignment horizontal="left" vertical="center" indent="1"/>
    </xf>
    <xf numFmtId="3" fontId="27" fillId="0" borderId="1" xfId="0" applyNumberFormat="1" applyFont="1" applyBorder="1" applyAlignment="1">
      <alignment horizontal="center" vertical="center"/>
    </xf>
    <xf numFmtId="0" fontId="19" fillId="0" borderId="1" xfId="0" applyFont="1" applyBorder="1" applyAlignment="1">
      <alignment vertical="center" wrapText="1"/>
    </xf>
    <xf numFmtId="0" fontId="19" fillId="0" borderId="0" xfId="4" applyFont="1" applyAlignment="1">
      <alignment horizontal="left" vertical="center"/>
    </xf>
    <xf numFmtId="177" fontId="19" fillId="0" borderId="1" xfId="0" applyNumberFormat="1" applyFont="1" applyBorder="1" applyAlignment="1">
      <alignment horizontal="center"/>
    </xf>
    <xf numFmtId="177" fontId="19" fillId="0" borderId="1" xfId="0" applyNumberFormat="1" applyFont="1" applyBorder="1"/>
    <xf numFmtId="4" fontId="28" fillId="0" borderId="0" xfId="0" applyNumberFormat="1" applyFont="1" applyAlignment="1">
      <alignment horizontal="center" vertical="center"/>
    </xf>
    <xf numFmtId="177" fontId="19" fillId="0" borderId="0" xfId="0" applyNumberFormat="1" applyFont="1"/>
    <xf numFmtId="0" fontId="19" fillId="0" borderId="5" xfId="0" applyFont="1" applyBorder="1"/>
    <xf numFmtId="4" fontId="28" fillId="0" borderId="5" xfId="0" applyNumberFormat="1" applyFont="1" applyBorder="1" applyAlignment="1">
      <alignment horizontal="center" vertical="center"/>
    </xf>
    <xf numFmtId="177" fontId="19" fillId="0" borderId="5" xfId="0" applyNumberFormat="1" applyFont="1" applyBorder="1"/>
    <xf numFmtId="0" fontId="19" fillId="0" borderId="19" xfId="0" applyFont="1" applyBorder="1"/>
    <xf numFmtId="166" fontId="19" fillId="0" borderId="0" xfId="0" quotePrefix="1" applyNumberFormat="1" applyFont="1" applyAlignment="1">
      <alignment vertical="center"/>
    </xf>
    <xf numFmtId="0" fontId="1" fillId="0" borderId="0" xfId="0" applyFont="1"/>
    <xf numFmtId="0" fontId="1" fillId="0" borderId="1" xfId="0" applyFont="1" applyBorder="1"/>
    <xf numFmtId="3" fontId="1" fillId="5" borderId="1" xfId="0" applyNumberFormat="1" applyFont="1" applyFill="1" applyBorder="1" applyAlignment="1">
      <alignment horizontal="center" vertical="center"/>
    </xf>
    <xf numFmtId="175" fontId="1" fillId="5" borderId="1" xfId="0" applyNumberFormat="1" applyFont="1" applyFill="1" applyBorder="1" applyAlignment="1">
      <alignment horizontal="center" vertical="center"/>
    </xf>
    <xf numFmtId="9" fontId="1" fillId="6" borderId="1" xfId="0" applyNumberFormat="1" applyFont="1" applyFill="1" applyBorder="1" applyAlignment="1">
      <alignment horizontal="center" vertical="center"/>
    </xf>
    <xf numFmtId="3" fontId="1" fillId="5" borderId="1" xfId="0" quotePrefix="1" applyNumberFormat="1" applyFont="1" applyFill="1" applyBorder="1" applyAlignment="1">
      <alignment horizontal="center" vertical="center"/>
    </xf>
    <xf numFmtId="0" fontId="1" fillId="11" borderId="1" xfId="0" applyFont="1" applyFill="1" applyBorder="1"/>
    <xf numFmtId="171" fontId="1" fillId="11" borderId="1" xfId="0" applyNumberFormat="1" applyFont="1" applyFill="1" applyBorder="1" applyAlignment="1">
      <alignment horizontal="center" vertical="center"/>
    </xf>
    <xf numFmtId="175" fontId="1" fillId="11" borderId="1" xfId="0" applyNumberFormat="1" applyFont="1" applyFill="1" applyBorder="1" applyAlignment="1">
      <alignment horizontal="center" vertical="center"/>
    </xf>
    <xf numFmtId="0" fontId="1" fillId="11" borderId="3" xfId="0" applyFont="1" applyFill="1" applyBorder="1"/>
    <xf numFmtId="175" fontId="1" fillId="11" borderId="3" xfId="0" applyNumberFormat="1" applyFont="1" applyFill="1" applyBorder="1" applyAlignment="1">
      <alignment horizontal="center" vertical="center"/>
    </xf>
    <xf numFmtId="0" fontId="1" fillId="0" borderId="33" xfId="0" applyFont="1" applyBorder="1"/>
    <xf numFmtId="9" fontId="1" fillId="0" borderId="13" xfId="0" applyNumberFormat="1" applyFont="1" applyBorder="1" applyAlignment="1">
      <alignment horizontal="center" vertical="center"/>
    </xf>
    <xf numFmtId="175" fontId="1" fillId="0" borderId="32" xfId="0" applyNumberFormat="1" applyFont="1" applyBorder="1" applyAlignment="1">
      <alignment horizontal="center" vertical="center"/>
    </xf>
    <xf numFmtId="0" fontId="1" fillId="0" borderId="10" xfId="0" applyFont="1" applyBorder="1"/>
    <xf numFmtId="9" fontId="1" fillId="0" borderId="1" xfId="0" applyNumberFormat="1" applyFont="1" applyBorder="1" applyAlignment="1">
      <alignment horizontal="center" vertical="center"/>
    </xf>
    <xf numFmtId="175" fontId="1" fillId="0" borderId="1" xfId="0" applyNumberFormat="1" applyFont="1" applyBorder="1" applyAlignment="1">
      <alignment horizontal="center" vertical="center"/>
    </xf>
    <xf numFmtId="3" fontId="1" fillId="0" borderId="1" xfId="0" applyNumberFormat="1" applyFont="1" applyBorder="1" applyAlignment="1">
      <alignment horizontal="center" vertical="center"/>
    </xf>
    <xf numFmtId="171" fontId="1" fillId="11" borderId="6" xfId="0" applyNumberFormat="1" applyFont="1" applyFill="1" applyBorder="1" applyAlignment="1">
      <alignment horizontal="center" vertical="center"/>
    </xf>
    <xf numFmtId="175" fontId="1" fillId="11" borderId="6" xfId="0" applyNumberFormat="1" applyFont="1" applyFill="1" applyBorder="1" applyAlignment="1">
      <alignment horizontal="center" vertical="center"/>
    </xf>
    <xf numFmtId="175" fontId="1" fillId="11" borderId="2" xfId="0" applyNumberFormat="1" applyFont="1" applyFill="1" applyBorder="1" applyAlignment="1">
      <alignment horizontal="center" vertical="center"/>
    </xf>
    <xf numFmtId="0" fontId="1" fillId="11" borderId="4" xfId="0" applyFont="1" applyFill="1" applyBorder="1"/>
    <xf numFmtId="175" fontId="1" fillId="11" borderId="31" xfId="0" applyNumberFormat="1" applyFont="1" applyFill="1" applyBorder="1" applyAlignment="1">
      <alignment horizontal="center" vertical="center"/>
    </xf>
    <xf numFmtId="175" fontId="1" fillId="11" borderId="4" xfId="0" applyNumberFormat="1" applyFont="1" applyFill="1" applyBorder="1" applyAlignment="1">
      <alignment horizontal="center" vertical="center"/>
    </xf>
    <xf numFmtId="0" fontId="1" fillId="0" borderId="6" xfId="0" applyFont="1" applyBorder="1"/>
    <xf numFmtId="9" fontId="1" fillId="5" borderId="6" xfId="0" applyNumberFormat="1" applyFont="1" applyFill="1" applyBorder="1" applyAlignment="1">
      <alignment horizontal="center" vertical="center"/>
    </xf>
    <xf numFmtId="3" fontId="1" fillId="3" borderId="6" xfId="0" applyNumberFormat="1" applyFont="1" applyFill="1" applyBorder="1" applyAlignment="1">
      <alignment horizontal="center" vertical="center"/>
    </xf>
    <xf numFmtId="167" fontId="1" fillId="0" borderId="6" xfId="0" applyNumberFormat="1" applyFont="1" applyBorder="1" applyAlignment="1">
      <alignment horizontal="center" vertical="center"/>
    </xf>
    <xf numFmtId="9" fontId="1" fillId="5" borderId="1" xfId="0" applyNumberFormat="1" applyFont="1" applyFill="1" applyBorder="1" applyAlignment="1">
      <alignment horizontal="center" vertical="center"/>
    </xf>
    <xf numFmtId="167" fontId="1" fillId="0" borderId="1" xfId="0" applyNumberFormat="1" applyFont="1" applyBorder="1" applyAlignment="1">
      <alignment horizontal="center" vertical="center"/>
    </xf>
    <xf numFmtId="167" fontId="1" fillId="5" borderId="1" xfId="0" applyNumberFormat="1" applyFont="1" applyFill="1" applyBorder="1" applyAlignment="1">
      <alignment horizontal="center" vertical="center"/>
    </xf>
    <xf numFmtId="0" fontId="1" fillId="0" borderId="13" xfId="0" applyFont="1" applyBorder="1"/>
    <xf numFmtId="0" fontId="1" fillId="0" borderId="13" xfId="0" quotePrefix="1" applyFont="1" applyBorder="1" applyAlignment="1">
      <alignment horizontal="center" vertical="center"/>
    </xf>
    <xf numFmtId="0" fontId="1" fillId="0" borderId="6" xfId="0" quotePrefix="1" applyFont="1" applyBorder="1" applyAlignment="1">
      <alignment horizontal="center" vertical="center"/>
    </xf>
    <xf numFmtId="165" fontId="1" fillId="11" borderId="4" xfId="0" applyNumberFormat="1" applyFont="1" applyFill="1" applyBorder="1" applyAlignment="1">
      <alignment horizontal="center" vertical="center"/>
    </xf>
    <xf numFmtId="176" fontId="1" fillId="11" borderId="6" xfId="0" applyNumberFormat="1" applyFont="1" applyFill="1" applyBorder="1" applyAlignment="1">
      <alignment horizontal="center" vertical="center"/>
    </xf>
    <xf numFmtId="176" fontId="1" fillId="11" borderId="1" xfId="0" applyNumberFormat="1" applyFont="1" applyFill="1" applyBorder="1" applyAlignment="1">
      <alignment horizontal="center" vertical="center"/>
    </xf>
    <xf numFmtId="9" fontId="1" fillId="3" borderId="1" xfId="0" applyNumberFormat="1" applyFont="1" applyFill="1" applyBorder="1" applyAlignment="1">
      <alignment horizontal="center" vertical="center"/>
    </xf>
    <xf numFmtId="3" fontId="1" fillId="5" borderId="6" xfId="0" applyNumberFormat="1" applyFont="1" applyFill="1" applyBorder="1" applyAlignment="1">
      <alignment horizontal="center" vertical="center"/>
    </xf>
    <xf numFmtId="3" fontId="1" fillId="5" borderId="6" xfId="0" quotePrefix="1" applyNumberFormat="1" applyFont="1" applyFill="1" applyBorder="1" applyAlignment="1">
      <alignment horizontal="center" vertical="center"/>
    </xf>
    <xf numFmtId="0" fontId="1" fillId="0" borderId="1" xfId="0" applyFont="1" applyBorder="1" applyAlignment="1">
      <alignment horizontal="center"/>
    </xf>
    <xf numFmtId="3" fontId="1" fillId="0" borderId="10" xfId="0" applyNumberFormat="1" applyFont="1" applyBorder="1" applyAlignment="1">
      <alignment horizontal="center" vertical="center"/>
    </xf>
    <xf numFmtId="0" fontId="1" fillId="5" borderId="1" xfId="0" applyFont="1" applyFill="1" applyBorder="1" applyAlignment="1">
      <alignment horizontal="center" vertical="center"/>
    </xf>
    <xf numFmtId="175" fontId="1" fillId="0" borderId="6" xfId="0" applyNumberFormat="1" applyFont="1" applyBorder="1"/>
    <xf numFmtId="175" fontId="1" fillId="0" borderId="3" xfId="0" applyNumberFormat="1" applyFont="1" applyBorder="1" applyAlignment="1">
      <alignment horizontal="center" vertical="center"/>
    </xf>
    <xf numFmtId="176" fontId="1" fillId="0" borderId="1" xfId="0" applyNumberFormat="1" applyFont="1" applyBorder="1" applyAlignment="1">
      <alignment horizontal="center"/>
    </xf>
    <xf numFmtId="175" fontId="1" fillId="0" borderId="1" xfId="0" applyNumberFormat="1" applyFont="1" applyBorder="1" applyAlignment="1">
      <alignment horizontal="center"/>
    </xf>
    <xf numFmtId="9" fontId="1" fillId="0" borderId="0" xfId="0" applyNumberFormat="1" applyFont="1"/>
    <xf numFmtId="166" fontId="1" fillId="0" borderId="0" xfId="0" applyNumberFormat="1" applyFont="1"/>
    <xf numFmtId="0" fontId="1" fillId="0" borderId="7" xfId="0" applyFont="1" applyBorder="1"/>
    <xf numFmtId="0" fontId="1" fillId="0" borderId="1" xfId="0" applyFont="1" applyBorder="1" applyAlignment="1">
      <alignment horizontal="left"/>
    </xf>
    <xf numFmtId="9" fontId="1" fillId="0" borderId="1" xfId="0" applyNumberFormat="1" applyFont="1" applyBorder="1" applyAlignment="1">
      <alignment horizontal="center"/>
    </xf>
    <xf numFmtId="0" fontId="1" fillId="0" borderId="0" xfId="0" applyFont="1" applyAlignment="1">
      <alignment horizontal="left"/>
    </xf>
    <xf numFmtId="9" fontId="1" fillId="0" borderId="0" xfId="0" applyNumberFormat="1" applyFont="1" applyAlignment="1">
      <alignment horizontal="center"/>
    </xf>
    <xf numFmtId="9" fontId="1" fillId="0" borderId="5" xfId="0" applyNumberFormat="1" applyFont="1" applyBorder="1"/>
    <xf numFmtId="9" fontId="1" fillId="7" borderId="5" xfId="0" applyNumberFormat="1" applyFont="1" applyFill="1" applyBorder="1"/>
    <xf numFmtId="9" fontId="1" fillId="0" borderId="19" xfId="0" applyNumberFormat="1" applyFont="1" applyBorder="1"/>
    <xf numFmtId="9" fontId="1" fillId="0" borderId="7" xfId="0" applyNumberFormat="1" applyFont="1" applyBorder="1"/>
    <xf numFmtId="166" fontId="1" fillId="0" borderId="7" xfId="0" applyNumberFormat="1" applyFont="1" applyBorder="1"/>
    <xf numFmtId="9" fontId="1" fillId="7" borderId="7" xfId="0" applyNumberFormat="1" applyFont="1" applyFill="1" applyBorder="1"/>
    <xf numFmtId="166" fontId="1" fillId="7" borderId="0" xfId="0" applyNumberFormat="1" applyFont="1" applyFill="1"/>
    <xf numFmtId="0" fontId="1" fillId="0" borderId="0" xfId="0" applyFont="1" applyAlignment="1">
      <alignment vertical="top" wrapText="1"/>
    </xf>
    <xf numFmtId="0" fontId="20" fillId="2" borderId="0" xfId="4" applyFont="1" applyFill="1" applyAlignment="1">
      <alignment horizontal="center" vertical="center" wrapText="1"/>
    </xf>
    <xf numFmtId="0" fontId="1" fillId="5" borderId="26" xfId="0" applyFont="1" applyFill="1" applyBorder="1" applyAlignment="1">
      <alignment horizontal="left" vertical="center" wrapText="1"/>
    </xf>
    <xf numFmtId="0" fontId="0" fillId="5" borderId="0" xfId="0" applyFill="1" applyAlignment="1">
      <alignment horizontal="left"/>
    </xf>
    <xf numFmtId="0" fontId="19" fillId="0" borderId="32" xfId="0" applyFont="1" applyBorder="1" applyAlignment="1">
      <alignment horizontal="left" vertical="center" wrapText="1"/>
    </xf>
    <xf numFmtId="0" fontId="19" fillId="0" borderId="31" xfId="0" applyFont="1" applyBorder="1" applyAlignment="1">
      <alignment horizontal="left" vertical="center" wrapText="1"/>
    </xf>
    <xf numFmtId="0" fontId="27" fillId="0" borderId="0" xfId="0" applyFont="1" applyAlignment="1">
      <alignment horizontal="left"/>
    </xf>
    <xf numFmtId="0" fontId="19" fillId="0" borderId="0" xfId="0" applyFont="1" applyAlignment="1">
      <alignment horizontal="left"/>
    </xf>
    <xf numFmtId="0" fontId="35" fillId="5" borderId="0" xfId="5" applyFont="1" applyFill="1" applyBorder="1" applyAlignment="1">
      <alignment horizontal="center" vertical="center"/>
    </xf>
    <xf numFmtId="0" fontId="32" fillId="3" borderId="0" xfId="5" applyFont="1" applyFill="1" applyBorder="1" applyAlignment="1">
      <alignment horizontal="center" vertical="center"/>
    </xf>
    <xf numFmtId="166" fontId="1" fillId="6" borderId="0" xfId="0" quotePrefix="1" applyNumberFormat="1" applyFont="1" applyFill="1" applyAlignment="1">
      <alignment horizontal="center" vertical="center"/>
    </xf>
    <xf numFmtId="0" fontId="7" fillId="4" borderId="1" xfId="0" applyFont="1" applyFill="1" applyBorder="1" applyAlignment="1">
      <alignment horizontal="center"/>
    </xf>
    <xf numFmtId="0" fontId="7" fillId="4" borderId="10" xfId="0" applyFont="1" applyFill="1" applyBorder="1" applyAlignment="1">
      <alignment horizontal="left"/>
    </xf>
    <xf numFmtId="0" fontId="7" fillId="4" borderId="34" xfId="0" applyFont="1" applyFill="1" applyBorder="1" applyAlignment="1">
      <alignment horizontal="left"/>
    </xf>
    <xf numFmtId="0" fontId="22" fillId="4" borderId="1" xfId="0" applyFont="1" applyFill="1" applyBorder="1" applyAlignment="1">
      <alignment horizontal="left" vertical="center" wrapText="1"/>
    </xf>
    <xf numFmtId="168" fontId="10" fillId="0" borderId="20" xfId="0" applyNumberFormat="1" applyFont="1" applyBorder="1" applyAlignment="1">
      <alignment horizontal="left" vertical="center"/>
    </xf>
    <xf numFmtId="168" fontId="10" fillId="0" borderId="30" xfId="0" applyNumberFormat="1" applyFont="1" applyBorder="1" applyAlignment="1">
      <alignment horizontal="left" vertical="center"/>
    </xf>
    <xf numFmtId="168" fontId="10" fillId="0" borderId="8" xfId="0" applyNumberFormat="1" applyFont="1" applyBorder="1" applyAlignment="1">
      <alignment horizontal="left" vertical="center"/>
    </xf>
    <xf numFmtId="168" fontId="10" fillId="0" borderId="18" xfId="0" applyNumberFormat="1" applyFont="1" applyBorder="1" applyAlignment="1">
      <alignment horizontal="left" vertical="center"/>
    </xf>
    <xf numFmtId="168" fontId="10" fillId="0" borderId="5" xfId="0" applyNumberFormat="1" applyFont="1" applyBorder="1" applyAlignment="1">
      <alignment horizontal="left" vertical="center"/>
    </xf>
    <xf numFmtId="168" fontId="10" fillId="0" borderId="19" xfId="0" applyNumberFormat="1" applyFont="1" applyBorder="1" applyAlignment="1">
      <alignment horizontal="left" vertical="center"/>
    </xf>
    <xf numFmtId="0" fontId="1" fillId="0" borderId="10" xfId="0" applyFont="1" applyBorder="1" applyAlignment="1">
      <alignment horizontal="left"/>
    </xf>
    <xf numFmtId="0" fontId="1" fillId="0" borderId="35" xfId="0" applyFont="1" applyBorder="1" applyAlignment="1">
      <alignment horizontal="left"/>
    </xf>
    <xf numFmtId="0" fontId="5" fillId="11" borderId="18" xfId="0" applyFont="1" applyFill="1" applyBorder="1" applyAlignment="1">
      <alignment horizontal="left"/>
    </xf>
    <xf numFmtId="0" fontId="5" fillId="11" borderId="19" xfId="0" applyFont="1" applyFill="1" applyBorder="1" applyAlignment="1">
      <alignment horizontal="left"/>
    </xf>
    <xf numFmtId="0" fontId="7" fillId="4" borderId="10" xfId="0" applyFont="1" applyFill="1" applyBorder="1" applyAlignment="1">
      <alignment horizontal="center"/>
    </xf>
    <xf numFmtId="0" fontId="7" fillId="4" borderId="34" xfId="0" applyFont="1" applyFill="1" applyBorder="1" applyAlignment="1">
      <alignment horizontal="center"/>
    </xf>
    <xf numFmtId="0" fontId="7" fillId="4" borderId="35" xfId="0" applyFont="1" applyFill="1" applyBorder="1" applyAlignment="1">
      <alignment horizontal="center"/>
    </xf>
    <xf numFmtId="0" fontId="5" fillId="11" borderId="1" xfId="0" applyFont="1" applyFill="1" applyBorder="1" applyAlignment="1">
      <alignment horizontal="left"/>
    </xf>
    <xf numFmtId="0" fontId="8" fillId="0" borderId="1" xfId="0" applyFont="1" applyBorder="1" applyAlignment="1">
      <alignment horizontal="left" vertical="center" wrapText="1"/>
    </xf>
    <xf numFmtId="168" fontId="10" fillId="0" borderId="1" xfId="0" applyNumberFormat="1" applyFont="1" applyBorder="1" applyAlignment="1">
      <alignment horizontal="left" vertical="center"/>
    </xf>
    <xf numFmtId="0" fontId="10" fillId="0" borderId="1" xfId="0" applyFont="1" applyBorder="1" applyAlignment="1">
      <alignment horizontal="left" vertical="center"/>
    </xf>
    <xf numFmtId="0" fontId="7" fillId="4" borderId="35" xfId="0" applyFont="1" applyFill="1" applyBorder="1" applyAlignment="1">
      <alignment horizontal="left"/>
    </xf>
    <xf numFmtId="0" fontId="8" fillId="0" borderId="30" xfId="0" applyFont="1" applyBorder="1" applyAlignment="1">
      <alignment horizontal="left" vertical="center" wrapText="1"/>
    </xf>
    <xf numFmtId="0" fontId="8" fillId="0" borderId="8" xfId="0" applyFont="1" applyBorder="1" applyAlignment="1">
      <alignment horizontal="left" vertical="center" wrapText="1"/>
    </xf>
    <xf numFmtId="0" fontId="8" fillId="0" borderId="5" xfId="0" applyFont="1" applyBorder="1" applyAlignment="1">
      <alignment horizontal="left" vertical="center" wrapText="1"/>
    </xf>
    <xf numFmtId="0" fontId="8" fillId="0" borderId="19" xfId="0" applyFont="1" applyBorder="1" applyAlignment="1">
      <alignment horizontal="left" vertical="center" wrapText="1"/>
    </xf>
    <xf numFmtId="0" fontId="7" fillId="4" borderId="10" xfId="0" applyFont="1" applyFill="1" applyBorder="1" applyAlignment="1">
      <alignment horizontal="center" wrapText="1"/>
    </xf>
    <xf numFmtId="0" fontId="7" fillId="4" borderId="35" xfId="0" applyFont="1" applyFill="1" applyBorder="1" applyAlignment="1">
      <alignment horizontal="center" wrapText="1"/>
    </xf>
    <xf numFmtId="0" fontId="1" fillId="0" borderId="32" xfId="0" applyFont="1" applyBorder="1" applyAlignment="1">
      <alignment horizontal="center" vertical="center"/>
    </xf>
    <xf numFmtId="0" fontId="1" fillId="0" borderId="2" xfId="0" applyFont="1" applyBorder="1" applyAlignment="1">
      <alignment horizontal="center" vertical="center"/>
    </xf>
    <xf numFmtId="0" fontId="1" fillId="0" borderId="31" xfId="0" applyFont="1" applyBorder="1" applyAlignment="1">
      <alignment horizontal="center" vertical="center"/>
    </xf>
    <xf numFmtId="0" fontId="1" fillId="0" borderId="2" xfId="0" applyFont="1" applyBorder="1" applyAlignment="1">
      <alignment horizontal="center" vertical="center" wrapText="1"/>
    </xf>
    <xf numFmtId="0" fontId="1" fillId="0" borderId="32" xfId="0" applyFont="1" applyBorder="1" applyAlignment="1">
      <alignment horizontal="center" vertical="center" wrapText="1"/>
    </xf>
    <xf numFmtId="0" fontId="1" fillId="0" borderId="31" xfId="0" applyFont="1" applyBorder="1" applyAlignment="1">
      <alignment horizontal="center" vertical="center" wrapText="1"/>
    </xf>
    <xf numFmtId="0" fontId="1" fillId="0" borderId="0" xfId="0" applyFont="1" applyAlignment="1">
      <alignment horizontal="left" wrapText="1"/>
    </xf>
    <xf numFmtId="0" fontId="1" fillId="0" borderId="0" xfId="0" applyFont="1" applyAlignment="1">
      <alignment horizontal="right" textRotation="90"/>
    </xf>
    <xf numFmtId="0" fontId="1" fillId="0" borderId="0" xfId="0" applyFont="1" applyAlignment="1">
      <alignment horizontal="left" vertical="top" wrapText="1"/>
    </xf>
    <xf numFmtId="0" fontId="1" fillId="0" borderId="0" xfId="0" applyFont="1" applyAlignment="1">
      <alignment horizontal="right" vertical="center" textRotation="90" wrapText="1"/>
    </xf>
  </cellXfs>
  <cellStyles count="6">
    <cellStyle name="Eingabe" xfId="5" builtinId="20"/>
    <cellStyle name="Komma" xfId="1" builtinId="3"/>
    <cellStyle name="Link" xfId="2" builtinId="8"/>
    <cellStyle name="Normal 3" xfId="4" xr:uid="{B5DEC5C4-E422-482E-BE12-DD5237397492}"/>
    <cellStyle name="Prozent" xfId="3" builtinId="5"/>
    <cellStyle name="Standard" xfId="0" builtinId="0"/>
  </cellStyles>
  <dxfs count="45">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C00000"/>
      </font>
    </dxf>
    <dxf>
      <font>
        <color rgb="FFC00000"/>
      </font>
    </dxf>
    <dxf>
      <font>
        <color rgb="FF9C0006"/>
      </font>
    </dxf>
    <dxf>
      <font>
        <color rgb="FF9C0006"/>
      </font>
    </dxf>
    <dxf>
      <font>
        <color rgb="FF9C0006"/>
      </font>
    </dxf>
    <dxf>
      <font>
        <color rgb="FF9C0006"/>
      </font>
    </dxf>
    <dxf>
      <font>
        <color rgb="FF9C0006"/>
      </font>
    </dxf>
    <dxf>
      <font>
        <color rgb="FF9C0006"/>
      </font>
    </dxf>
    <dxf>
      <font>
        <color rgb="FFC00000"/>
      </font>
    </dxf>
    <dxf>
      <font>
        <color rgb="FF9C0006"/>
      </font>
    </dxf>
    <dxf>
      <font>
        <color rgb="FFC00000"/>
      </font>
    </dxf>
    <dxf>
      <font>
        <color rgb="FFC00000"/>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theme="0"/>
      </font>
      <fill>
        <patternFill>
          <bgColor rgb="FFB4463C"/>
        </patternFill>
      </fill>
    </dxf>
    <dxf>
      <fill>
        <patternFill>
          <bgColor rgb="FFE1BE6E"/>
        </patternFill>
      </fill>
    </dxf>
    <dxf>
      <fill>
        <patternFill>
          <bgColor rgb="FF96B473"/>
        </patternFill>
      </fill>
    </dxf>
    <dxf>
      <font>
        <color theme="0"/>
      </font>
      <fill>
        <patternFill>
          <bgColor rgb="FFB4463C"/>
        </patternFill>
      </fill>
    </dxf>
    <dxf>
      <fill>
        <patternFill>
          <bgColor rgb="FFE1BE6E"/>
        </patternFill>
      </fill>
    </dxf>
    <dxf>
      <fill>
        <patternFill>
          <bgColor rgb="FF96B473"/>
        </patternFill>
      </fill>
    </dxf>
    <dxf>
      <font>
        <color theme="0"/>
      </font>
      <fill>
        <patternFill>
          <bgColor rgb="FFB4463C"/>
        </patternFill>
      </fill>
    </dxf>
    <dxf>
      <fill>
        <patternFill>
          <bgColor rgb="FFE1BE6E"/>
        </patternFill>
      </fill>
    </dxf>
    <dxf>
      <fill>
        <patternFill>
          <bgColor rgb="FF96B473"/>
        </patternFill>
      </fill>
    </dxf>
  </dxfs>
  <tableStyles count="0" defaultTableStyle="TableStyleMedium2" defaultPivotStyle="PivotStyleLight16"/>
  <colors>
    <mruColors>
      <color rgb="FFDCA591"/>
      <color rgb="FF8B9FC2"/>
      <color rgb="FFBDD1E0"/>
      <color rgb="FFE7E6E6"/>
      <color rgb="FFCDD2B4"/>
      <color rgb="FFBED2E1"/>
      <color rgb="FFC8AFB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Pero" panose="020F0506020203030304" pitchFamily="34" charset="0"/>
                <a:ea typeface="+mn-ea"/>
                <a:cs typeface="+mn-cs"/>
              </a:defRPr>
            </a:pPr>
            <a:r>
              <a:rPr lang="en-US" b="1"/>
              <a:t>Present Value vs. Project Costs (in 2021 EUR)</a:t>
            </a:r>
          </a:p>
        </c:rich>
      </c:tx>
      <c:layout>
        <c:manualLayout>
          <c:xMode val="edge"/>
          <c:yMode val="edge"/>
          <c:x val="0.36835680246855768"/>
          <c:y val="2.6168911129374743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Pero" panose="020F0506020203030304" pitchFamily="34" charset="0"/>
              <a:ea typeface="+mn-ea"/>
              <a:cs typeface="+mn-cs"/>
            </a:defRPr>
          </a:pPr>
          <a:endParaRPr lang="en-US"/>
        </a:p>
      </c:txPr>
    </c:title>
    <c:autoTitleDeleted val="0"/>
    <c:plotArea>
      <c:layout>
        <c:manualLayout>
          <c:layoutTarget val="inner"/>
          <c:xMode val="edge"/>
          <c:yMode val="edge"/>
          <c:x val="8.7407794014573548E-2"/>
          <c:y val="0.12003518151674583"/>
          <c:w val="0.91259220598542645"/>
          <c:h val="0.74103425397315226"/>
        </c:manualLayout>
      </c:layout>
      <c:barChart>
        <c:barDir val="col"/>
        <c:grouping val="clustered"/>
        <c:varyColors val="0"/>
        <c:ser>
          <c:idx val="0"/>
          <c:order val="0"/>
          <c:spPr>
            <a:solidFill>
              <a:srgbClr val="DCA591"/>
            </a:solidFill>
            <a:ln>
              <a:noFill/>
            </a:ln>
            <a:effectLst/>
          </c:spPr>
          <c:invertIfNegative val="0"/>
          <c:dPt>
            <c:idx val="1"/>
            <c:invertIfNegative val="0"/>
            <c:bubble3D val="0"/>
            <c:spPr>
              <a:solidFill>
                <a:srgbClr val="CDD2B4"/>
              </a:solidFill>
              <a:ln>
                <a:noFill/>
              </a:ln>
              <a:effectLst/>
            </c:spPr>
            <c:extLst>
              <c:ext xmlns:c16="http://schemas.microsoft.com/office/drawing/2014/chart" uri="{C3380CC4-5D6E-409C-BE32-E72D297353CC}">
                <c16:uniqueId val="{00000003-9255-4A34-9705-2D06D2C37F04}"/>
              </c:ext>
            </c:extLst>
          </c:dPt>
          <c:dPt>
            <c:idx val="2"/>
            <c:invertIfNegative val="0"/>
            <c:bubble3D val="0"/>
            <c:spPr>
              <a:solidFill>
                <a:srgbClr val="BED2E1"/>
              </a:solidFill>
              <a:ln>
                <a:noFill/>
              </a:ln>
              <a:effectLst/>
            </c:spPr>
            <c:extLst>
              <c:ext xmlns:c16="http://schemas.microsoft.com/office/drawing/2014/chart" uri="{C3380CC4-5D6E-409C-BE32-E72D297353CC}">
                <c16:uniqueId val="{00000005-9255-4A34-9705-2D06D2C37F04}"/>
              </c:ext>
            </c:extLst>
          </c:dPt>
          <c:dLbls>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Pero" panose="020F0506020203030304" pitchFamily="34" charset="0"/>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Summary!$B$69:$B$71</c:f>
              <c:strCache>
                <c:ptCount val="3"/>
                <c:pt idx="0">
                  <c:v>Project Costs discounted</c:v>
                </c:pt>
                <c:pt idx="1">
                  <c:v>Present Value </c:v>
                </c:pt>
                <c:pt idx="2">
                  <c:v>Net Present Value </c:v>
                </c:pt>
              </c:strCache>
            </c:strRef>
          </c:cat>
          <c:val>
            <c:numRef>
              <c:f>Summary!$C$69:$C$71</c:f>
              <c:numCache>
                <c:formatCode>#,##0\ "€"</c:formatCode>
                <c:ptCount val="3"/>
                <c:pt idx="0">
                  <c:v>2852953.1828886573</c:v>
                </c:pt>
                <c:pt idx="1">
                  <c:v>15213935.167914329</c:v>
                </c:pt>
                <c:pt idx="2">
                  <c:v>12360981.985025672</c:v>
                </c:pt>
              </c:numCache>
            </c:numRef>
          </c:val>
          <c:extLst>
            <c:ext xmlns:c16="http://schemas.microsoft.com/office/drawing/2014/chart" uri="{C3380CC4-5D6E-409C-BE32-E72D297353CC}">
              <c16:uniqueId val="{0000000A-9255-4A34-9705-2D06D2C37F04}"/>
            </c:ext>
          </c:extLst>
        </c:ser>
        <c:dLbls>
          <c:showLegendKey val="0"/>
          <c:showVal val="0"/>
          <c:showCatName val="0"/>
          <c:showSerName val="0"/>
          <c:showPercent val="0"/>
          <c:showBubbleSize val="0"/>
        </c:dLbls>
        <c:gapWidth val="100"/>
        <c:overlap val="-27"/>
        <c:axId val="843113504"/>
        <c:axId val="843114584"/>
      </c:barChart>
      <c:catAx>
        <c:axId val="8431135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Pero" panose="020F0506020203030304" pitchFamily="34" charset="0"/>
                <a:ea typeface="+mn-ea"/>
                <a:cs typeface="+mn-cs"/>
              </a:defRPr>
            </a:pPr>
            <a:endParaRPr lang="en-US"/>
          </a:p>
        </c:txPr>
        <c:crossAx val="843114584"/>
        <c:crosses val="autoZero"/>
        <c:auto val="1"/>
        <c:lblAlgn val="ctr"/>
        <c:lblOffset val="100"/>
        <c:noMultiLvlLbl val="0"/>
      </c:catAx>
      <c:valAx>
        <c:axId val="843114584"/>
        <c:scaling>
          <c:orientation val="minMax"/>
        </c:scaling>
        <c:delete val="0"/>
        <c:axPos val="l"/>
        <c:majorGridlines>
          <c:spPr>
            <a:ln w="9525" cap="flat" cmpd="sng" algn="ctr">
              <a:solidFill>
                <a:schemeClr val="tx1">
                  <a:lumMod val="15000"/>
                  <a:lumOff val="85000"/>
                </a:schemeClr>
              </a:solidFill>
              <a:round/>
            </a:ln>
            <a:effectLst/>
          </c:spPr>
        </c:majorGridlines>
        <c:numFmt formatCode="#,##0\ &quot;€&quot;"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Pero" panose="020F0506020203030304" pitchFamily="34" charset="0"/>
                <a:ea typeface="+mn-ea"/>
                <a:cs typeface="+mn-cs"/>
              </a:defRPr>
            </a:pPr>
            <a:endParaRPr lang="en-US"/>
          </a:p>
        </c:txPr>
        <c:crossAx val="84311350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latin typeface="Pero" panose="020F0506020203030304" pitchFamily="34"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Pero" panose="020F0506020203030304" pitchFamily="34" charset="0"/>
                <a:ea typeface="+mn-ea"/>
                <a:cs typeface="+mn-cs"/>
              </a:defRPr>
            </a:pPr>
            <a:r>
              <a:rPr lang="en-US" sz="1400" b="1" i="0" u="none" strike="noStrike" kern="1200" spc="0" baseline="0">
                <a:solidFill>
                  <a:sysClr val="windowText" lastClr="000000"/>
                </a:solidFill>
                <a:latin typeface="Pero" panose="020F0506020203030304" pitchFamily="34" charset="0"/>
              </a:rPr>
              <a:t>Present Value vs. Costs per Household (in 2021 EUR)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Pero" panose="020F0506020203030304" pitchFamily="34" charset="0"/>
              <a:ea typeface="+mn-ea"/>
              <a:cs typeface="+mn-cs"/>
            </a:defRPr>
          </a:pPr>
          <a:endParaRPr lang="en-US"/>
        </a:p>
      </c:txPr>
    </c:title>
    <c:autoTitleDeleted val="0"/>
    <c:plotArea>
      <c:layout/>
      <c:barChart>
        <c:barDir val="col"/>
        <c:grouping val="clustered"/>
        <c:varyColors val="0"/>
        <c:ser>
          <c:idx val="0"/>
          <c:order val="0"/>
          <c:tx>
            <c:strRef>
              <c:f>Summary!$B$48:$B$50</c:f>
              <c:strCache>
                <c:ptCount val="3"/>
                <c:pt idx="0">
                  <c:v>Costs per HH</c:v>
                </c:pt>
                <c:pt idx="1">
                  <c:v>Present Value per HH</c:v>
                </c:pt>
                <c:pt idx="2">
                  <c:v>NPV per HH</c:v>
                </c:pt>
              </c:strCache>
            </c:strRef>
          </c:tx>
          <c:spPr>
            <a:solidFill>
              <a:schemeClr val="accent1"/>
            </a:solidFill>
            <a:ln>
              <a:noFill/>
            </a:ln>
            <a:effectLst/>
          </c:spPr>
          <c:invertIfNegative val="0"/>
          <c:dPt>
            <c:idx val="0"/>
            <c:invertIfNegative val="0"/>
            <c:bubble3D val="0"/>
            <c:spPr>
              <a:solidFill>
                <a:srgbClr val="BED2E1"/>
              </a:solidFill>
              <a:ln>
                <a:noFill/>
              </a:ln>
              <a:effectLst/>
            </c:spPr>
            <c:extLst>
              <c:ext xmlns:c16="http://schemas.microsoft.com/office/drawing/2014/chart" uri="{C3380CC4-5D6E-409C-BE32-E72D297353CC}">
                <c16:uniqueId val="{00000001-5A1C-477B-8BD6-6EE0B4426B99}"/>
              </c:ext>
            </c:extLst>
          </c:dPt>
          <c:dPt>
            <c:idx val="1"/>
            <c:invertIfNegative val="0"/>
            <c:bubble3D val="0"/>
            <c:spPr>
              <a:solidFill>
                <a:srgbClr val="DCA591"/>
              </a:solidFill>
              <a:ln>
                <a:noFill/>
              </a:ln>
              <a:effectLst/>
            </c:spPr>
            <c:extLst>
              <c:ext xmlns:c16="http://schemas.microsoft.com/office/drawing/2014/chart" uri="{C3380CC4-5D6E-409C-BE32-E72D297353CC}">
                <c16:uniqueId val="{00000003-5A1C-477B-8BD6-6EE0B4426B99}"/>
              </c:ext>
            </c:extLst>
          </c:dPt>
          <c:dPt>
            <c:idx val="2"/>
            <c:invertIfNegative val="0"/>
            <c:bubble3D val="0"/>
            <c:spPr>
              <a:solidFill>
                <a:srgbClr val="CDD2B4"/>
              </a:solidFill>
              <a:ln>
                <a:noFill/>
              </a:ln>
              <a:effectLst/>
            </c:spPr>
            <c:extLst>
              <c:ext xmlns:c16="http://schemas.microsoft.com/office/drawing/2014/chart" uri="{C3380CC4-5D6E-409C-BE32-E72D297353CC}">
                <c16:uniqueId val="{00000005-5A1C-477B-8BD6-6EE0B4426B99}"/>
              </c:ext>
            </c:extLst>
          </c:dPt>
          <c:dLbls>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Pero" panose="020F0506020203030304" pitchFamily="34" charset="0"/>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Summary!$B$48:$B$50</c:f>
              <c:strCache>
                <c:ptCount val="3"/>
                <c:pt idx="0">
                  <c:v>Costs per HH</c:v>
                </c:pt>
                <c:pt idx="1">
                  <c:v>Present Value per HH</c:v>
                </c:pt>
                <c:pt idx="2">
                  <c:v>NPV per HH</c:v>
                </c:pt>
              </c:strCache>
            </c:strRef>
          </c:cat>
          <c:val>
            <c:numRef>
              <c:f>Summary!$C$48:$C$50</c:f>
              <c:numCache>
                <c:formatCode>"€"#,##0_);\("€"#,##0\)</c:formatCode>
                <c:ptCount val="3"/>
                <c:pt idx="0">
                  <c:v>86.505554362906523</c:v>
                </c:pt>
                <c:pt idx="1">
                  <c:v>461.30791897860308</c:v>
                </c:pt>
                <c:pt idx="2">
                  <c:v>374.80236461569655</c:v>
                </c:pt>
              </c:numCache>
            </c:numRef>
          </c:val>
          <c:extLst>
            <c:ext xmlns:c16="http://schemas.microsoft.com/office/drawing/2014/chart" uri="{C3380CC4-5D6E-409C-BE32-E72D297353CC}">
              <c16:uniqueId val="{0000000A-5A1C-477B-8BD6-6EE0B4426B99}"/>
            </c:ext>
          </c:extLst>
        </c:ser>
        <c:dLbls>
          <c:showLegendKey val="0"/>
          <c:showVal val="0"/>
          <c:showCatName val="0"/>
          <c:showSerName val="0"/>
          <c:showPercent val="0"/>
          <c:showBubbleSize val="0"/>
        </c:dLbls>
        <c:gapWidth val="100"/>
        <c:axId val="1235029696"/>
        <c:axId val="1235044816"/>
      </c:barChart>
      <c:catAx>
        <c:axId val="12350296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Pero" panose="020F0506020203030304" pitchFamily="34" charset="0"/>
                <a:ea typeface="+mn-ea"/>
                <a:cs typeface="+mn-cs"/>
              </a:defRPr>
            </a:pPr>
            <a:endParaRPr lang="en-US"/>
          </a:p>
        </c:txPr>
        <c:crossAx val="1235044816"/>
        <c:crosses val="autoZero"/>
        <c:auto val="1"/>
        <c:lblAlgn val="ctr"/>
        <c:lblOffset val="100"/>
        <c:noMultiLvlLbl val="0"/>
      </c:catAx>
      <c:valAx>
        <c:axId val="1235044816"/>
        <c:scaling>
          <c:orientation val="minMax"/>
        </c:scaling>
        <c:delete val="0"/>
        <c:axPos val="l"/>
        <c:majorGridlines>
          <c:spPr>
            <a:ln w="9525" cap="flat" cmpd="sng" algn="ctr">
              <a:solidFill>
                <a:schemeClr val="tx1">
                  <a:lumMod val="15000"/>
                  <a:lumOff val="85000"/>
                </a:schemeClr>
              </a:solidFill>
              <a:round/>
            </a:ln>
            <a:effectLst/>
          </c:spPr>
        </c:majorGridlines>
        <c:numFmt formatCode="&quot;€&quot;#,##0_);\(&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Pero" panose="020F0506020203030304" pitchFamily="34" charset="0"/>
                <a:ea typeface="+mn-ea"/>
                <a:cs typeface="+mn-cs"/>
              </a:defRPr>
            </a:pPr>
            <a:endParaRPr lang="en-US"/>
          </a:p>
        </c:txPr>
        <c:crossAx val="123502969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Pero" panose="020F0506020203030304" pitchFamily="34"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solidFill>
                  <a:sysClr val="windowText" lastClr="000000"/>
                </a:solidFill>
                <a:latin typeface="Pero" panose="020F0506020203030304" pitchFamily="34" charset="0"/>
              </a:rPr>
              <a:t>Share of project components in total</a:t>
            </a:r>
            <a:r>
              <a:rPr lang="en-US" b="1" baseline="0">
                <a:solidFill>
                  <a:sysClr val="windowText" lastClr="000000"/>
                </a:solidFill>
                <a:latin typeface="Pero" panose="020F0506020203030304" pitchFamily="34" charset="0"/>
              </a:rPr>
              <a:t> Present Value </a:t>
            </a:r>
            <a:endParaRPr lang="en-US" b="1">
              <a:solidFill>
                <a:sysClr val="windowText" lastClr="000000"/>
              </a:solidFill>
              <a:latin typeface="Pero" panose="020F0506020203030304" pitchFamily="34"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percentStacked"/>
        <c:varyColors val="0"/>
        <c:ser>
          <c:idx val="0"/>
          <c:order val="0"/>
          <c:tx>
            <c:strRef>
              <c:f>Summary!$E$51</c:f>
              <c:strCache>
                <c:ptCount val="1"/>
                <c:pt idx="0">
                  <c:v>Coffee </c:v>
                </c:pt>
              </c:strCache>
            </c:strRef>
          </c:tx>
          <c:spPr>
            <a:solidFill>
              <a:srgbClr val="BED2E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Summary!$F$50:$G$50</c:f>
              <c:strCache>
                <c:ptCount val="2"/>
                <c:pt idx="0">
                  <c:v>Kassanda und Mubende</c:v>
                </c:pt>
                <c:pt idx="1">
                  <c:v>Buikwe</c:v>
                </c:pt>
              </c:strCache>
            </c:strRef>
          </c:cat>
          <c:val>
            <c:numRef>
              <c:f>Summary!$F$51:$G$51</c:f>
              <c:numCache>
                <c:formatCode>0%</c:formatCode>
                <c:ptCount val="2"/>
                <c:pt idx="0">
                  <c:v>0.68832244451832914</c:v>
                </c:pt>
                <c:pt idx="1">
                  <c:v>0.43185426489100193</c:v>
                </c:pt>
              </c:numCache>
            </c:numRef>
          </c:val>
          <c:extLst>
            <c:ext xmlns:c16="http://schemas.microsoft.com/office/drawing/2014/chart" uri="{C3380CC4-5D6E-409C-BE32-E72D297353CC}">
              <c16:uniqueId val="{00000000-3981-460C-A592-B8B9884BDF7F}"/>
            </c:ext>
          </c:extLst>
        </c:ser>
        <c:ser>
          <c:idx val="1"/>
          <c:order val="1"/>
          <c:tx>
            <c:strRef>
              <c:f>Summary!$E$52</c:f>
              <c:strCache>
                <c:ptCount val="1"/>
                <c:pt idx="0">
                  <c:v>Chia</c:v>
                </c:pt>
              </c:strCache>
            </c:strRef>
          </c:tx>
          <c:spPr>
            <a:solidFill>
              <a:srgbClr val="DCA591"/>
            </a:solidFill>
            <a:ln>
              <a:noFill/>
            </a:ln>
            <a:effectLst/>
          </c:spPr>
          <c:invertIfNegative val="0"/>
          <c:cat>
            <c:strRef>
              <c:f>Summary!$F$50:$G$50</c:f>
              <c:strCache>
                <c:ptCount val="2"/>
                <c:pt idx="0">
                  <c:v>Kassanda und Mubende</c:v>
                </c:pt>
                <c:pt idx="1">
                  <c:v>Buikwe</c:v>
                </c:pt>
              </c:strCache>
            </c:strRef>
          </c:cat>
          <c:val>
            <c:numRef>
              <c:f>Summary!$F$52:$G$52</c:f>
              <c:numCache>
                <c:formatCode>0%</c:formatCode>
                <c:ptCount val="2"/>
                <c:pt idx="0">
                  <c:v>9.4130798658192635E-4</c:v>
                </c:pt>
                <c:pt idx="1">
                  <c:v>2.261159796994996E-3</c:v>
                </c:pt>
              </c:numCache>
            </c:numRef>
          </c:val>
          <c:extLst>
            <c:ext xmlns:c16="http://schemas.microsoft.com/office/drawing/2014/chart" uri="{C3380CC4-5D6E-409C-BE32-E72D297353CC}">
              <c16:uniqueId val="{00000001-3981-460C-A592-B8B9884BDF7F}"/>
            </c:ext>
          </c:extLst>
        </c:ser>
        <c:ser>
          <c:idx val="2"/>
          <c:order val="2"/>
          <c:tx>
            <c:strRef>
              <c:f>Summary!$E$53</c:f>
              <c:strCache>
                <c:ptCount val="1"/>
                <c:pt idx="0">
                  <c:v>Macadamia</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Summary!$F$50:$G$50</c:f>
              <c:strCache>
                <c:ptCount val="2"/>
                <c:pt idx="0">
                  <c:v>Kassanda und Mubende</c:v>
                </c:pt>
                <c:pt idx="1">
                  <c:v>Buikwe</c:v>
                </c:pt>
              </c:strCache>
            </c:strRef>
          </c:cat>
          <c:val>
            <c:numRef>
              <c:f>Summary!$F$53:$G$53</c:f>
              <c:numCache>
                <c:formatCode>0%</c:formatCode>
                <c:ptCount val="2"/>
                <c:pt idx="0">
                  <c:v>6.4641896923820323E-3</c:v>
                </c:pt>
                <c:pt idx="1">
                  <c:v>1.1978618961039302E-2</c:v>
                </c:pt>
              </c:numCache>
            </c:numRef>
          </c:val>
          <c:extLst>
            <c:ext xmlns:c16="http://schemas.microsoft.com/office/drawing/2014/chart" uri="{C3380CC4-5D6E-409C-BE32-E72D297353CC}">
              <c16:uniqueId val="{00000002-3981-460C-A592-B8B9884BDF7F}"/>
            </c:ext>
          </c:extLst>
        </c:ser>
        <c:ser>
          <c:idx val="3"/>
          <c:order val="3"/>
          <c:tx>
            <c:strRef>
              <c:f>Summary!$E$54</c:f>
              <c:strCache>
                <c:ptCount val="1"/>
                <c:pt idx="0">
                  <c:v>Trees</c:v>
                </c:pt>
              </c:strCache>
            </c:strRef>
          </c:tx>
          <c:spPr>
            <a:solidFill>
              <a:srgbClr val="CDD2B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Summary!$F$50:$G$50</c:f>
              <c:strCache>
                <c:ptCount val="2"/>
                <c:pt idx="0">
                  <c:v>Kassanda und Mubende</c:v>
                </c:pt>
                <c:pt idx="1">
                  <c:v>Buikwe</c:v>
                </c:pt>
              </c:strCache>
            </c:strRef>
          </c:cat>
          <c:val>
            <c:numRef>
              <c:f>Summary!$F$54:$G$54</c:f>
              <c:numCache>
                <c:formatCode>0%</c:formatCode>
                <c:ptCount val="2"/>
                <c:pt idx="0">
                  <c:v>0.30427205780270677</c:v>
                </c:pt>
                <c:pt idx="1">
                  <c:v>0.55390595635096385</c:v>
                </c:pt>
              </c:numCache>
            </c:numRef>
          </c:val>
          <c:extLst>
            <c:ext xmlns:c16="http://schemas.microsoft.com/office/drawing/2014/chart" uri="{C3380CC4-5D6E-409C-BE32-E72D297353CC}">
              <c16:uniqueId val="{00000003-3981-460C-A592-B8B9884BDF7F}"/>
            </c:ext>
          </c:extLst>
        </c:ser>
        <c:dLbls>
          <c:showLegendKey val="0"/>
          <c:showVal val="0"/>
          <c:showCatName val="0"/>
          <c:showSerName val="0"/>
          <c:showPercent val="0"/>
          <c:showBubbleSize val="0"/>
        </c:dLbls>
        <c:gapWidth val="150"/>
        <c:overlap val="100"/>
        <c:axId val="507131368"/>
        <c:axId val="507136408"/>
      </c:barChart>
      <c:catAx>
        <c:axId val="5071313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7136408"/>
        <c:crosses val="autoZero"/>
        <c:auto val="1"/>
        <c:lblAlgn val="ctr"/>
        <c:lblOffset val="100"/>
        <c:noMultiLvlLbl val="0"/>
      </c:catAx>
      <c:valAx>
        <c:axId val="50713640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7131368"/>
        <c:crosses val="autoZero"/>
        <c:crossBetween val="between"/>
      </c:valAx>
      <c:spPr>
        <a:noFill/>
        <a:ln>
          <a:solidFill>
            <a:schemeClr val="bg1">
              <a:lumMod val="85000"/>
            </a:schemeClr>
          </a:solid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bg1">
          <a:lumMod val="7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solidFill>
                  <a:sysClr val="windowText" lastClr="000000"/>
                </a:solidFill>
                <a:latin typeface="Pero" panose="020F0506020203030304" pitchFamily="34" charset="0"/>
              </a:rPr>
              <a:t>SROI under different</a:t>
            </a:r>
            <a:r>
              <a:rPr lang="en-US" sz="1200" baseline="0">
                <a:solidFill>
                  <a:sysClr val="windowText" lastClr="000000"/>
                </a:solidFill>
                <a:latin typeface="Pero" panose="020F0506020203030304" pitchFamily="34" charset="0"/>
              </a:rPr>
              <a:t> discount rates</a:t>
            </a:r>
            <a:endParaRPr lang="en-US" sz="1200">
              <a:solidFill>
                <a:sysClr val="windowText" lastClr="000000"/>
              </a:solidFill>
              <a:latin typeface="Pero" panose="020F0506020203030304" pitchFamily="34"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4278937007874015"/>
          <c:y val="0.22215348175382471"/>
          <c:w val="0.82665507436570429"/>
          <c:h val="0.64197297135119524"/>
        </c:manualLayout>
      </c:layout>
      <c:barChart>
        <c:barDir val="bar"/>
        <c:grouping val="clustered"/>
        <c:varyColors val="0"/>
        <c:ser>
          <c:idx val="0"/>
          <c:order val="0"/>
          <c:tx>
            <c:strRef>
              <c:f>'Sensitivity analysis'!$C$18</c:f>
              <c:strCache>
                <c:ptCount val="1"/>
                <c:pt idx="0">
                  <c:v>SROI</c:v>
                </c:pt>
              </c:strCache>
            </c:strRef>
          </c:tx>
          <c:spPr>
            <a:solidFill>
              <a:srgbClr val="BDD1E0"/>
            </a:solidFill>
            <a:ln>
              <a:noFill/>
            </a:ln>
            <a:effectLst/>
          </c:spPr>
          <c:invertIfNegative val="0"/>
          <c:dPt>
            <c:idx val="1"/>
            <c:invertIfNegative val="0"/>
            <c:bubble3D val="0"/>
            <c:spPr>
              <a:solidFill>
                <a:srgbClr val="8B9FC2"/>
              </a:solidFill>
              <a:ln>
                <a:noFill/>
              </a:ln>
              <a:effectLst/>
            </c:spPr>
            <c:extLst>
              <c:ext xmlns:c16="http://schemas.microsoft.com/office/drawing/2014/chart" uri="{C3380CC4-5D6E-409C-BE32-E72D297353CC}">
                <c16:uniqueId val="{00000002-C348-411F-8D2D-641AE3D30315}"/>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'Sensitivity analysis'!$B$19:$B$22</c:f>
              <c:numCache>
                <c:formatCode>0%</c:formatCode>
                <c:ptCount val="4"/>
                <c:pt idx="0">
                  <c:v>0.15</c:v>
                </c:pt>
                <c:pt idx="1">
                  <c:v>0.1</c:v>
                </c:pt>
                <c:pt idx="2">
                  <c:v>0.05</c:v>
                </c:pt>
                <c:pt idx="3">
                  <c:v>0</c:v>
                </c:pt>
              </c:numCache>
            </c:numRef>
          </c:cat>
          <c:val>
            <c:numRef>
              <c:f>'Sensitivity analysis'!$C$19:$C$22</c:f>
              <c:numCache>
                <c:formatCode>General</c:formatCode>
                <c:ptCount val="4"/>
                <c:pt idx="0">
                  <c:v>6.5</c:v>
                </c:pt>
                <c:pt idx="1">
                  <c:v>8.1999999999999993</c:v>
                </c:pt>
                <c:pt idx="2">
                  <c:v>10.9</c:v>
                </c:pt>
                <c:pt idx="3">
                  <c:v>15.5</c:v>
                </c:pt>
              </c:numCache>
            </c:numRef>
          </c:val>
          <c:extLst>
            <c:ext xmlns:c16="http://schemas.microsoft.com/office/drawing/2014/chart" uri="{C3380CC4-5D6E-409C-BE32-E72D297353CC}">
              <c16:uniqueId val="{00000000-C348-411F-8D2D-641AE3D30315}"/>
            </c:ext>
          </c:extLst>
        </c:ser>
        <c:dLbls>
          <c:dLblPos val="outEnd"/>
          <c:showLegendKey val="0"/>
          <c:showVal val="1"/>
          <c:showCatName val="0"/>
          <c:showSerName val="0"/>
          <c:showPercent val="0"/>
          <c:showBubbleSize val="0"/>
        </c:dLbls>
        <c:gapWidth val="182"/>
        <c:axId val="1379936552"/>
        <c:axId val="1379926832"/>
      </c:barChart>
      <c:catAx>
        <c:axId val="1379936552"/>
        <c:scaling>
          <c:orientation val="maxMin"/>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solidFill>
                      <a:sysClr val="windowText" lastClr="000000"/>
                    </a:solidFill>
                    <a:latin typeface="Pero" panose="020F0506020203030304" pitchFamily="34" charset="0"/>
                  </a:rPr>
                  <a:t>Discount rate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79926832"/>
        <c:crosses val="autoZero"/>
        <c:auto val="1"/>
        <c:lblAlgn val="ctr"/>
        <c:lblOffset val="100"/>
        <c:noMultiLvlLbl val="0"/>
      </c:catAx>
      <c:valAx>
        <c:axId val="1379926832"/>
        <c:scaling>
          <c:orientation val="minMax"/>
        </c:scaling>
        <c:delete val="1"/>
        <c:axPos val="t"/>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solidFill>
                      <a:sysClr val="windowText" lastClr="000000"/>
                    </a:solidFill>
                    <a:latin typeface="Pero" panose="020F0506020203030304" pitchFamily="34" charset="0"/>
                  </a:rPr>
                  <a:t>SROI</a:t>
                </a:r>
              </a:p>
            </c:rich>
          </c:tx>
          <c:layout>
            <c:manualLayout>
              <c:xMode val="edge"/>
              <c:yMode val="edge"/>
              <c:x val="0.51561001749781277"/>
              <c:y val="0.86486466371413429"/>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crossAx val="137993655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Pero"/>
                <a:ea typeface="Pero"/>
                <a:cs typeface="Pero"/>
              </a:defRPr>
            </a:pPr>
            <a:r>
              <a:rPr lang="en-US" sz="1200" b="0">
                <a:solidFill>
                  <a:sysClr val="windowText" lastClr="000000"/>
                </a:solidFill>
              </a:rPr>
              <a:t>SROI with different non-implementation cost-shares deducted</a:t>
            </a:r>
            <a:r>
              <a:rPr lang="en-US" sz="1200" b="0" baseline="0">
                <a:solidFill>
                  <a:sysClr val="windowText" lastClr="000000"/>
                </a:solidFill>
              </a:rPr>
              <a:t> from total grant amount</a:t>
            </a:r>
            <a:endParaRPr lang="en-US" sz="1200" b="0">
              <a:solidFill>
                <a:sysClr val="windowText" lastClr="000000"/>
              </a:solidFill>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Pero"/>
              <a:ea typeface="Pero"/>
              <a:cs typeface="Pero"/>
            </a:defRPr>
          </a:pPr>
          <a:endParaRPr lang="en-US"/>
        </a:p>
      </c:txPr>
    </c:title>
    <c:autoTitleDeleted val="0"/>
    <c:plotArea>
      <c:layout>
        <c:manualLayout>
          <c:layoutTarget val="inner"/>
          <c:xMode val="edge"/>
          <c:yMode val="edge"/>
          <c:x val="0.15210724517558874"/>
          <c:y val="0.30700326594105154"/>
          <c:w val="0.8412713386027052"/>
          <c:h val="0.58095201125036833"/>
        </c:manualLayout>
      </c:layout>
      <c:barChart>
        <c:barDir val="bar"/>
        <c:grouping val="clustered"/>
        <c:varyColors val="0"/>
        <c:ser>
          <c:idx val="0"/>
          <c:order val="0"/>
          <c:tx>
            <c:v>SROI</c:v>
          </c:tx>
          <c:spPr>
            <a:solidFill>
              <a:srgbClr val="BDD1E0"/>
            </a:solidFill>
            <a:ln>
              <a:noFill/>
            </a:ln>
            <a:effectLst/>
          </c:spPr>
          <c:invertIfNegative val="0"/>
          <c:dPt>
            <c:idx val="0"/>
            <c:invertIfNegative val="0"/>
            <c:bubble3D val="0"/>
            <c:spPr>
              <a:solidFill>
                <a:srgbClr val="8B9FC2"/>
              </a:solidFill>
              <a:ln>
                <a:noFill/>
              </a:ln>
              <a:effectLst/>
            </c:spPr>
            <c:extLst>
              <c:ext xmlns:c16="http://schemas.microsoft.com/office/drawing/2014/chart" uri="{C3380CC4-5D6E-409C-BE32-E72D297353CC}">
                <c16:uniqueId val="{00000001-BBC0-4251-A574-1F8F27DCD95A}"/>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'Sensitivity analysis'!$E$19:$E$21</c:f>
              <c:numCache>
                <c:formatCode>0%</c:formatCode>
                <c:ptCount val="3"/>
                <c:pt idx="0">
                  <c:v>0.15</c:v>
                </c:pt>
                <c:pt idx="1">
                  <c:v>0.1</c:v>
                </c:pt>
                <c:pt idx="2">
                  <c:v>0</c:v>
                </c:pt>
              </c:numCache>
            </c:numRef>
          </c:cat>
          <c:val>
            <c:numRef>
              <c:f>'Sensitivity analysis'!$F$19:$F$21</c:f>
              <c:numCache>
                <c:formatCode>General</c:formatCode>
                <c:ptCount val="3"/>
                <c:pt idx="0">
                  <c:v>8.1999999999999993</c:v>
                </c:pt>
                <c:pt idx="1">
                  <c:v>7.7</c:v>
                </c:pt>
                <c:pt idx="2">
                  <c:v>6.9</c:v>
                </c:pt>
              </c:numCache>
            </c:numRef>
          </c:val>
          <c:extLst>
            <c:ext xmlns:c16="http://schemas.microsoft.com/office/drawing/2014/chart" uri="{C3380CC4-5D6E-409C-BE32-E72D297353CC}">
              <c16:uniqueId val="{00000000-BBC0-4251-A574-1F8F27DCD95A}"/>
            </c:ext>
          </c:extLst>
        </c:ser>
        <c:dLbls>
          <c:showLegendKey val="0"/>
          <c:showVal val="0"/>
          <c:showCatName val="0"/>
          <c:showSerName val="0"/>
          <c:showPercent val="0"/>
          <c:showBubbleSize val="0"/>
        </c:dLbls>
        <c:gapWidth val="182"/>
        <c:axId val="1160572256"/>
        <c:axId val="1160573696"/>
      </c:barChart>
      <c:catAx>
        <c:axId val="1160572256"/>
        <c:scaling>
          <c:orientation val="maxMin"/>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Pero"/>
                    <a:ea typeface="Pero"/>
                    <a:cs typeface="Pero"/>
                  </a:defRPr>
                </a:pPr>
                <a:r>
                  <a:rPr lang="en-US">
                    <a:solidFill>
                      <a:sysClr val="windowText" lastClr="000000"/>
                    </a:solidFill>
                  </a:rPr>
                  <a:t>Non-implementation cost share</a:t>
                </a:r>
              </a:p>
            </c:rich>
          </c:tx>
          <c:layout>
            <c:manualLayout>
              <c:xMode val="edge"/>
              <c:yMode val="edge"/>
              <c:x val="2.5047213003609545E-3"/>
              <c:y val="0.19656320915302522"/>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Pero"/>
                  <a:ea typeface="Pero"/>
                  <a:cs typeface="Pero"/>
                </a:defRPr>
              </a:pPr>
              <a:endParaRPr lang="en-US"/>
            </a:p>
          </c:txPr>
        </c:title>
        <c:numFmt formatCode="0%" sourceLinked="0"/>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alibri"/>
                <a:ea typeface="Calibri"/>
                <a:cs typeface="Calibri"/>
              </a:defRPr>
            </a:pPr>
            <a:endParaRPr lang="en-US"/>
          </a:p>
        </c:txPr>
        <c:crossAx val="1160573696"/>
        <c:crosses val="autoZero"/>
        <c:auto val="1"/>
        <c:lblAlgn val="ctr"/>
        <c:lblOffset val="100"/>
        <c:noMultiLvlLbl val="0"/>
      </c:catAx>
      <c:valAx>
        <c:axId val="1160573696"/>
        <c:scaling>
          <c:orientation val="minMax"/>
        </c:scaling>
        <c:delete val="1"/>
        <c:axPos val="t"/>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Pero"/>
                    <a:ea typeface="Pero"/>
                    <a:cs typeface="Pero"/>
                  </a:defRPr>
                </a:pPr>
                <a:r>
                  <a:rPr lang="en-US">
                    <a:solidFill>
                      <a:sysClr val="windowText" lastClr="000000"/>
                    </a:solidFill>
                  </a:rPr>
                  <a:t>SROI</a:t>
                </a:r>
              </a:p>
            </c:rich>
          </c:tx>
          <c:layout>
            <c:manualLayout>
              <c:xMode val="edge"/>
              <c:yMode val="edge"/>
              <c:x val="0.50175242233047201"/>
              <c:y val="0.87655983730850173"/>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Pero"/>
                  <a:ea typeface="Pero"/>
                  <a:cs typeface="Pero"/>
                </a:defRPr>
              </a:pPr>
              <a:endParaRPr lang="en-US"/>
            </a:p>
          </c:txPr>
        </c:title>
        <c:numFmt formatCode="0.0" sourceLinked="0"/>
        <c:majorTickMark val="none"/>
        <c:minorTickMark val="none"/>
        <c:tickLblPos val="nextTo"/>
        <c:crossAx val="116057225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3.xml"/><Relationship Id="rId4"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0</xdr:col>
      <xdr:colOff>278946</xdr:colOff>
      <xdr:row>62</xdr:row>
      <xdr:rowOff>119744</xdr:rowOff>
    </xdr:from>
    <xdr:to>
      <xdr:col>10</xdr:col>
      <xdr:colOff>355147</xdr:colOff>
      <xdr:row>81</xdr:row>
      <xdr:rowOff>133349</xdr:rowOff>
    </xdr:to>
    <xdr:graphicFrame macro="">
      <xdr:nvGraphicFramePr>
        <xdr:cNvPr id="2" name="Chart 5">
          <a:extLst>
            <a:ext uri="{FF2B5EF4-FFF2-40B4-BE49-F238E27FC236}">
              <a16:creationId xmlns:a16="http://schemas.microsoft.com/office/drawing/2014/main" id="{EA3ABE86-536E-40CE-A8D2-D592022298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114159</xdr:colOff>
      <xdr:row>5</xdr:row>
      <xdr:rowOff>12512</xdr:rowOff>
    </xdr:from>
    <xdr:to>
      <xdr:col>11</xdr:col>
      <xdr:colOff>161924</xdr:colOff>
      <xdr:row>17</xdr:row>
      <xdr:rowOff>581025</xdr:rowOff>
    </xdr:to>
    <xdr:sp macro="" textlink="">
      <xdr:nvSpPr>
        <xdr:cNvPr id="3" name="TextBox 2">
          <a:extLst>
            <a:ext uri="{FF2B5EF4-FFF2-40B4-BE49-F238E27FC236}">
              <a16:creationId xmlns:a16="http://schemas.microsoft.com/office/drawing/2014/main" id="{43D434B4-9423-4756-A90D-64634B3DBD27}"/>
            </a:ext>
          </a:extLst>
        </xdr:cNvPr>
        <xdr:cNvSpPr txBox="1"/>
      </xdr:nvSpPr>
      <xdr:spPr>
        <a:xfrm>
          <a:off x="7324584" y="1517462"/>
          <a:ext cx="5400815" cy="3283138"/>
        </a:xfrm>
        <a:prstGeom prst="rect">
          <a:avLst/>
        </a:prstGeom>
        <a:solidFill>
          <a:sysClr val="window" lastClr="FFFFFF"/>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i="0" u="none" strike="noStrike" baseline="0">
              <a:solidFill>
                <a:schemeClr val="dk1"/>
              </a:solidFill>
              <a:latin typeface="Pero" panose="020F0506020203030304" pitchFamily="34" charset="0"/>
              <a:ea typeface="+mn-ea"/>
              <a:cs typeface="+mn-cs"/>
            </a:rPr>
            <a:t>HWG Summary/Interpretation: </a:t>
          </a:r>
        </a:p>
        <a:p>
          <a:pPr marL="171450" indent="-171450">
            <a:buFont typeface="Arial" panose="020B0604020202020204" pitchFamily="34" charset="0"/>
            <a:buChar char="•"/>
          </a:pPr>
          <a:r>
            <a:rPr lang="en-US" sz="1100" b="0" i="0" u="none" strike="noStrike" baseline="0">
              <a:solidFill>
                <a:schemeClr val="dk1"/>
              </a:solidFill>
              <a:latin typeface="Pero" panose="020F0506020203030304" pitchFamily="34" charset="0"/>
              <a:ea typeface="+mn-ea"/>
              <a:cs typeface="+mn-cs"/>
            </a:rPr>
            <a:t>The SROI forecast model ist based on historic OAF data on the yield benefits of its program in Eastern Uganda.</a:t>
          </a:r>
        </a:p>
        <a:p>
          <a:pPr marL="171450" indent="-171450">
            <a:buFont typeface="Arial" panose="020B0604020202020204" pitchFamily="34" charset="0"/>
            <a:buChar char="•"/>
          </a:pPr>
          <a:r>
            <a:rPr lang="en-US" sz="1100" b="0" i="0" u="none" strike="noStrike" baseline="0">
              <a:solidFill>
                <a:schemeClr val="dk1"/>
              </a:solidFill>
              <a:latin typeface="Pero" panose="020F0506020203030304" pitchFamily="34" charset="0"/>
              <a:ea typeface="+mn-ea"/>
              <a:cs typeface="+mn-cs"/>
            </a:rPr>
            <a:t>The model compares the </a:t>
          </a:r>
          <a:r>
            <a:rPr lang="en-US" sz="1100" b="1" i="0" u="none" strike="noStrike" baseline="0">
              <a:solidFill>
                <a:schemeClr val="dk1"/>
              </a:solidFill>
              <a:latin typeface="Pero" panose="020F0506020203030304" pitchFamily="34" charset="0"/>
              <a:ea typeface="+mn-ea"/>
              <a:cs typeface="+mn-cs"/>
            </a:rPr>
            <a:t>estimated present value of total program benefits over a 10 year timeframe of 15.2 mill EUR with the present value of total implementation costs of 2.8 mill EUR </a:t>
          </a:r>
          <a:r>
            <a:rPr lang="en-US" sz="1100" b="0" i="0" u="none" strike="noStrike" baseline="0">
              <a:solidFill>
                <a:schemeClr val="dk1"/>
              </a:solidFill>
              <a:latin typeface="Pero" panose="020F0506020203030304" pitchFamily="34" charset="0"/>
              <a:ea typeface="+mn-ea"/>
              <a:cs typeface="+mn-cs"/>
            </a:rPr>
            <a:t>(values are discounted and deflated to real 2021 EUR).</a:t>
          </a:r>
        </a:p>
        <a:p>
          <a:pPr marL="171450" indent="-171450">
            <a:buFont typeface="Arial" panose="020B0604020202020204" pitchFamily="34" charset="0"/>
            <a:buChar char="•"/>
          </a:pPr>
          <a:r>
            <a:rPr lang="en-US" sz="1100" b="0" i="0" u="none" strike="noStrike" baseline="0">
              <a:solidFill>
                <a:schemeClr val="dk1"/>
              </a:solidFill>
              <a:latin typeface="Pero" panose="020F0506020203030304" pitchFamily="34" charset="0"/>
              <a:ea typeface="+mn-ea"/>
              <a:cs typeface="+mn-cs"/>
            </a:rPr>
            <a:t>The preliminary SROI result of 8.2 shows that under current assumptions, for every EUR invested, 8.2 EUR additional household income is created.</a:t>
          </a:r>
        </a:p>
        <a:p>
          <a:pPr marL="171450" indent="-171450">
            <a:buFont typeface="Arial" panose="020B0604020202020204" pitchFamily="34" charset="0"/>
            <a:buChar char="•"/>
          </a:pPr>
          <a:r>
            <a:rPr lang="en-US" sz="1100" b="0" i="0" u="none" strike="noStrike" baseline="0">
              <a:solidFill>
                <a:schemeClr val="dk1"/>
              </a:solidFill>
              <a:latin typeface="Pero" panose="020F0506020203030304" pitchFamily="34" charset="0"/>
              <a:ea typeface="+mn-ea"/>
              <a:cs typeface="+mn-cs"/>
            </a:rPr>
            <a:t>Program benefits are primarily generated through OAF's coffee and tree program. Chia and macadamia only generate small benefits for the average farming household over the considered 10 year timeframe.</a:t>
          </a:r>
        </a:p>
        <a:p>
          <a:pPr marL="171450" indent="-171450">
            <a:buFont typeface="Arial" panose="020B0604020202020204" pitchFamily="34" charset="0"/>
            <a:buChar char="•"/>
          </a:pPr>
          <a:r>
            <a:rPr lang="en-US" sz="1100" b="0" i="0" u="none" strike="noStrike" baseline="0">
              <a:solidFill>
                <a:schemeClr val="dk1"/>
              </a:solidFill>
              <a:latin typeface="Pero" panose="020F0506020203030304" pitchFamily="34" charset="0"/>
              <a:ea typeface="+mn-ea"/>
              <a:cs typeface="+mn-cs"/>
            </a:rPr>
            <a:t>The number of coffee trees per household is a major driver of program impact (through increased productivity of coffee trees).  In Buikwe, where  average farm size is about half the size of farms in Kassanda and Mubende, the total present value of program benefits per household (314 EUR) is much smaller than in Kassanda and Mubende (481 EUR).</a:t>
          </a:r>
        </a:p>
        <a:p>
          <a:pPr marL="171450" indent="-171450">
            <a:buFont typeface="Arial" panose="020B0604020202020204" pitchFamily="34" charset="0"/>
            <a:buChar char="•"/>
          </a:pPr>
          <a:r>
            <a:rPr lang="en-US" sz="1100" b="0" i="0" u="none" strike="noStrike" baseline="0">
              <a:solidFill>
                <a:schemeClr val="dk1"/>
              </a:solidFill>
              <a:latin typeface="Pero" panose="020F0506020203030304" pitchFamily="34" charset="0"/>
              <a:ea typeface="+mn-ea"/>
              <a:cs typeface="+mn-cs"/>
            </a:rPr>
            <a:t>The calculation provides a conservative SROI estimate since the long-term monetary value of trees (Macadamia and other trees) are only considered until Yr 9.</a:t>
          </a:r>
        </a:p>
      </xdr:txBody>
    </xdr:sp>
    <xdr:clientData/>
  </xdr:twoCellAnchor>
  <xdr:twoCellAnchor>
    <xdr:from>
      <xdr:col>0</xdr:col>
      <xdr:colOff>277268</xdr:colOff>
      <xdr:row>45</xdr:row>
      <xdr:rowOff>18551</xdr:rowOff>
    </xdr:from>
    <xdr:to>
      <xdr:col>2</xdr:col>
      <xdr:colOff>3718832</xdr:colOff>
      <xdr:row>62</xdr:row>
      <xdr:rowOff>1363</xdr:rowOff>
    </xdr:to>
    <xdr:graphicFrame macro="">
      <xdr:nvGraphicFramePr>
        <xdr:cNvPr id="5" name="Chart 4">
          <a:extLst>
            <a:ext uri="{FF2B5EF4-FFF2-40B4-BE49-F238E27FC236}">
              <a16:creationId xmlns:a16="http://schemas.microsoft.com/office/drawing/2014/main" id="{1E674E25-AF08-451B-B753-588C00716D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106305</xdr:colOff>
      <xdr:row>19</xdr:row>
      <xdr:rowOff>217897</xdr:rowOff>
    </xdr:from>
    <xdr:to>
      <xdr:col>11</xdr:col>
      <xdr:colOff>161925</xdr:colOff>
      <xdr:row>26</xdr:row>
      <xdr:rowOff>171450</xdr:rowOff>
    </xdr:to>
    <xdr:sp macro="" textlink="">
      <xdr:nvSpPr>
        <xdr:cNvPr id="7" name="TextBox 2">
          <a:extLst>
            <a:ext uri="{FF2B5EF4-FFF2-40B4-BE49-F238E27FC236}">
              <a16:creationId xmlns:a16="http://schemas.microsoft.com/office/drawing/2014/main" id="{5D16EE65-0F50-48DF-8D65-863AB3F83E21}"/>
            </a:ext>
          </a:extLst>
        </xdr:cNvPr>
        <xdr:cNvSpPr txBox="1"/>
      </xdr:nvSpPr>
      <xdr:spPr>
        <a:xfrm>
          <a:off x="6421380" y="5047072"/>
          <a:ext cx="6685020" cy="1649003"/>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1050" b="1" i="0" u="none" strike="noStrike" baseline="0">
              <a:solidFill>
                <a:schemeClr val="dk1"/>
              </a:solidFill>
              <a:latin typeface="Pero" panose="020F0506020203030304" pitchFamily="34" charset="0"/>
              <a:ea typeface="+mn-ea"/>
              <a:cs typeface="+mn-cs"/>
            </a:rPr>
            <a:t>*Level of certainty: Low</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0" i="0" u="sng" baseline="0">
              <a:solidFill>
                <a:schemeClr val="dk1"/>
              </a:solidFill>
              <a:effectLst/>
              <a:latin typeface="Pero" panose="020F0506020203030304" pitchFamily="34" charset="0"/>
              <a:ea typeface="+mn-ea"/>
              <a:cs typeface="+mn-cs"/>
            </a:rPr>
            <a:t>Evidence strength</a:t>
          </a:r>
          <a:r>
            <a:rPr lang="en-US" sz="1100" b="0" i="0" baseline="0">
              <a:solidFill>
                <a:schemeClr val="dk1"/>
              </a:solidFill>
              <a:effectLst/>
              <a:latin typeface="Pero" panose="020F0506020203030304" pitchFamily="34" charset="0"/>
              <a:ea typeface="+mn-ea"/>
              <a:cs typeface="+mn-cs"/>
            </a:rPr>
            <a:t>: Modeled income based on physically measured and self-reported historic values for intermediate outcomes. Comparison of matched OAF and non-OAF farmers from identical parishes (selection bias likely). Data mostly from Eastern Uganda (Mukono/Buikwe).</a:t>
          </a:r>
        </a:p>
        <a:p>
          <a:pPr algn="l" eaLnBrk="1" fontAlgn="auto" latinLnBrk="0" hangingPunct="1"/>
          <a:r>
            <a:rPr lang="en-US" sz="1100" b="0" i="0" u="sng" baseline="0">
              <a:solidFill>
                <a:schemeClr val="dk1"/>
              </a:solidFill>
              <a:effectLst/>
              <a:latin typeface="Pero" panose="020F0506020203030304" pitchFamily="34" charset="0"/>
              <a:ea typeface="+mn-ea"/>
              <a:cs typeface="+mn-cs"/>
            </a:rPr>
            <a:t>Precision of impact estimates</a:t>
          </a:r>
          <a:r>
            <a:rPr lang="en-US" sz="1100" b="0" i="0" baseline="0">
              <a:solidFill>
                <a:schemeClr val="dk1"/>
              </a:solidFill>
              <a:effectLst/>
              <a:latin typeface="Pero" panose="020F0506020203030304" pitchFamily="34" charset="0"/>
              <a:ea typeface="+mn-ea"/>
              <a:cs typeface="+mn-cs"/>
            </a:rPr>
            <a:t>: no info</a:t>
          </a:r>
          <a:endParaRPr lang="en-US" sz="1050">
            <a:effectLst/>
            <a:latin typeface="Pero" panose="020F0506020203030304" pitchFamily="34" charset="0"/>
          </a:endParaRPr>
        </a:p>
        <a:p>
          <a:pPr eaLnBrk="1" fontAlgn="auto" latinLnBrk="0" hangingPunct="1"/>
          <a:r>
            <a:rPr lang="en-US" sz="1100" b="0" i="0" u="sng" baseline="0">
              <a:solidFill>
                <a:schemeClr val="dk1"/>
              </a:solidFill>
              <a:effectLst/>
              <a:latin typeface="Pero" panose="020F0506020203030304" pitchFamily="34" charset="0"/>
              <a:ea typeface="+mn-ea"/>
              <a:cs typeface="+mn-cs"/>
            </a:rPr>
            <a:t>Assumptions</a:t>
          </a:r>
          <a:r>
            <a:rPr lang="en-US" sz="1100" b="0" i="0" baseline="0">
              <a:solidFill>
                <a:schemeClr val="dk1"/>
              </a:solidFill>
              <a:effectLst/>
              <a:latin typeface="Pero" panose="020F0506020203030304" pitchFamily="34" charset="0"/>
              <a:ea typeface="+mn-ea"/>
              <a:cs typeface="+mn-cs"/>
            </a:rPr>
            <a:t>: Most key assumptions empirically grounded. Major uncertainty regarding treatment effects over time.</a:t>
          </a:r>
          <a:endParaRPr lang="en-US" sz="1050">
            <a:effectLst/>
            <a:latin typeface="Pero" panose="020F0506020203030304" pitchFamily="34" charset="0"/>
          </a:endParaRPr>
        </a:p>
        <a:p>
          <a:pPr eaLnBrk="1" fontAlgn="auto" latinLnBrk="0" hangingPunct="1"/>
          <a:r>
            <a:rPr lang="en-US" sz="1100" b="0" i="0" u="sng" baseline="0">
              <a:solidFill>
                <a:schemeClr val="dk1"/>
              </a:solidFill>
              <a:effectLst/>
              <a:latin typeface="Pero" panose="020F0506020203030304" pitchFamily="34" charset="0"/>
              <a:ea typeface="+mn-ea"/>
              <a:cs typeface="+mn-cs"/>
            </a:rPr>
            <a:t>Sensitivity</a:t>
          </a:r>
          <a:r>
            <a:rPr lang="en-US" sz="1100" b="0" i="0" baseline="0">
              <a:solidFill>
                <a:schemeClr val="dk1"/>
              </a:solidFill>
              <a:effectLst/>
              <a:latin typeface="Pero" panose="020F0506020203030304" pitchFamily="34" charset="0"/>
              <a:ea typeface="+mn-ea"/>
              <a:cs typeface="+mn-cs"/>
            </a:rPr>
            <a:t>: SROI values are moderately sensitive to key parameters. SROI values remain very positive.</a:t>
          </a:r>
          <a:endParaRPr lang="en-US" sz="1050">
            <a:effectLst/>
            <a:latin typeface="Pero" panose="020F0506020203030304" pitchFamily="34" charset="0"/>
          </a:endParaRPr>
        </a:p>
        <a:p>
          <a:r>
            <a:rPr lang="en-US" sz="1050" b="1" i="0" u="none" strike="noStrike" baseline="0">
              <a:solidFill>
                <a:schemeClr val="dk1"/>
              </a:solidFill>
              <a:latin typeface="Pero" panose="020F0506020203030304" pitchFamily="34" charset="0"/>
              <a:ea typeface="+mn-ea"/>
              <a:cs typeface="+mn-cs"/>
            </a:rPr>
            <a:t> </a:t>
          </a:r>
          <a:endParaRPr lang="en-US" sz="1050" b="0" i="0" u="none" strike="noStrike" baseline="0">
            <a:solidFill>
              <a:schemeClr val="dk1"/>
            </a:solidFill>
            <a:latin typeface="Pero" panose="020F0506020203030304" pitchFamily="34" charset="0"/>
            <a:ea typeface="+mn-ea"/>
            <a:cs typeface="+mn-cs"/>
          </a:endParaRPr>
        </a:p>
      </xdr:txBody>
    </xdr:sp>
    <xdr:clientData/>
  </xdr:twoCellAnchor>
  <xdr:twoCellAnchor>
    <xdr:from>
      <xdr:col>3</xdr:col>
      <xdr:colOff>223641</xdr:colOff>
      <xdr:row>30</xdr:row>
      <xdr:rowOff>217444</xdr:rowOff>
    </xdr:from>
    <xdr:to>
      <xdr:col>10</xdr:col>
      <xdr:colOff>433378</xdr:colOff>
      <xdr:row>35</xdr:row>
      <xdr:rowOff>188568</xdr:rowOff>
    </xdr:to>
    <xdr:sp macro="" textlink="">
      <xdr:nvSpPr>
        <xdr:cNvPr id="8" name="TextBox 2">
          <a:extLst>
            <a:ext uri="{FF2B5EF4-FFF2-40B4-BE49-F238E27FC236}">
              <a16:creationId xmlns:a16="http://schemas.microsoft.com/office/drawing/2014/main" id="{69890110-78EE-4485-B531-6867D31A1642}"/>
            </a:ext>
          </a:extLst>
        </xdr:cNvPr>
        <xdr:cNvSpPr txBox="1"/>
      </xdr:nvSpPr>
      <xdr:spPr>
        <a:xfrm>
          <a:off x="6533001" y="6717304"/>
          <a:ext cx="6252397" cy="1114124"/>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1050" b="1" i="0" u="none" strike="noStrike" baseline="0">
              <a:solidFill>
                <a:schemeClr val="dk1"/>
              </a:solidFill>
              <a:latin typeface="Pero" panose="020F0506020203030304" pitchFamily="34" charset="0"/>
              <a:ea typeface="+mn-ea"/>
              <a:cs typeface="+mn-cs"/>
            </a:rPr>
            <a:t>*Methodological rigor: Good</a:t>
          </a:r>
        </a:p>
        <a:p>
          <a:pPr algn="l"/>
          <a:r>
            <a:rPr lang="en-US" sz="1050" b="0" i="0" u="none" strike="noStrike" baseline="0">
              <a:solidFill>
                <a:schemeClr val="dk1"/>
              </a:solidFill>
              <a:latin typeface="Pero" panose="020F0506020203030304" pitchFamily="34" charset="0"/>
              <a:ea typeface="+mn-ea"/>
              <a:cs typeface="+mn-cs"/>
            </a:rPr>
            <a:t>Non-random assignment of parishes to implementation cohort by OAF based on operational feasibility. Cohorts are well-balanced across all observable key socio-demographic characteristics at baseline. </a:t>
          </a:r>
        </a:p>
        <a:p>
          <a:pPr algn="l"/>
          <a:r>
            <a:rPr lang="en-US" sz="1050" b="0" i="0" u="none" strike="noStrike" baseline="0">
              <a:solidFill>
                <a:schemeClr val="dk1"/>
              </a:solidFill>
              <a:latin typeface="Pero" panose="020F0506020203030304" pitchFamily="34" charset="0"/>
              <a:ea typeface="+mn-ea"/>
              <a:cs typeface="+mn-cs"/>
            </a:rPr>
            <a:t>Limited number of clusters (ideally n&gt;50)</a:t>
          </a:r>
          <a:br>
            <a:rPr lang="en-US" sz="1050" b="0" i="0" u="none" strike="noStrike" baseline="0">
              <a:solidFill>
                <a:schemeClr val="dk1"/>
              </a:solidFill>
              <a:latin typeface="Pero" panose="020F0506020203030304" pitchFamily="34" charset="0"/>
              <a:ea typeface="+mn-ea"/>
              <a:cs typeface="+mn-cs"/>
            </a:rPr>
          </a:br>
          <a:r>
            <a:rPr lang="en-US" sz="1050" b="0" i="0" u="none" strike="noStrike" baseline="0">
              <a:solidFill>
                <a:schemeClr val="dk1"/>
              </a:solidFill>
              <a:latin typeface="Pero" panose="020F0506020203030304" pitchFamily="34" charset="0"/>
              <a:ea typeface="+mn-ea"/>
              <a:cs typeface="+mn-cs"/>
            </a:rPr>
            <a:t>Well-defined adoption metrics that cover adoption status and intensity. Physical coffee yield meansurement by OAF.</a:t>
          </a:r>
        </a:p>
      </xdr:txBody>
    </xdr:sp>
    <xdr:clientData/>
  </xdr:twoCellAnchor>
  <xdr:twoCellAnchor editAs="oneCell">
    <xdr:from>
      <xdr:col>8</xdr:col>
      <xdr:colOff>259376</xdr:colOff>
      <xdr:row>1</xdr:row>
      <xdr:rowOff>95250</xdr:rowOff>
    </xdr:from>
    <xdr:to>
      <xdr:col>11</xdr:col>
      <xdr:colOff>19347</xdr:colOff>
      <xdr:row>1</xdr:row>
      <xdr:rowOff>624840</xdr:rowOff>
    </xdr:to>
    <xdr:pic>
      <xdr:nvPicPr>
        <xdr:cNvPr id="11" name="Picture 10">
          <a:extLst>
            <a:ext uri="{FF2B5EF4-FFF2-40B4-BE49-F238E27FC236}">
              <a16:creationId xmlns:a16="http://schemas.microsoft.com/office/drawing/2014/main" id="{84A84575-B1F4-479A-27E8-BD36249D7870}"/>
            </a:ext>
          </a:extLst>
        </xdr:cNvPr>
        <xdr:cNvPicPr>
          <a:picLocks noChangeAspect="1"/>
        </xdr:cNvPicPr>
      </xdr:nvPicPr>
      <xdr:blipFill>
        <a:blip xmlns:r="http://schemas.openxmlformats.org/officeDocument/2006/relationships" r:embed="rId3"/>
        <a:stretch>
          <a:fillRect/>
        </a:stretch>
      </xdr:blipFill>
      <xdr:spPr>
        <a:xfrm>
          <a:off x="9879626" y="285750"/>
          <a:ext cx="1493521" cy="533400"/>
        </a:xfrm>
        <a:prstGeom prst="rect">
          <a:avLst/>
        </a:prstGeom>
      </xdr:spPr>
    </xdr:pic>
    <xdr:clientData/>
  </xdr:twoCellAnchor>
  <xdr:twoCellAnchor editAs="oneCell">
    <xdr:from>
      <xdr:col>4</xdr:col>
      <xdr:colOff>253944</xdr:colOff>
      <xdr:row>1</xdr:row>
      <xdr:rowOff>9525</xdr:rowOff>
    </xdr:from>
    <xdr:to>
      <xdr:col>6</xdr:col>
      <xdr:colOff>663326</xdr:colOff>
      <xdr:row>1</xdr:row>
      <xdr:rowOff>592455</xdr:rowOff>
    </xdr:to>
    <xdr:pic>
      <xdr:nvPicPr>
        <xdr:cNvPr id="12" name="Picture 11">
          <a:extLst>
            <a:ext uri="{FF2B5EF4-FFF2-40B4-BE49-F238E27FC236}">
              <a16:creationId xmlns:a16="http://schemas.microsoft.com/office/drawing/2014/main" id="{7945422E-0410-DCF5-FFA3-2A964C3C01E7}"/>
            </a:ext>
          </a:extLst>
        </xdr:cNvPr>
        <xdr:cNvPicPr>
          <a:picLocks noChangeAspect="1"/>
        </xdr:cNvPicPr>
      </xdr:nvPicPr>
      <xdr:blipFill>
        <a:blip xmlns:r="http://schemas.openxmlformats.org/officeDocument/2006/relationships" r:embed="rId4"/>
        <a:stretch>
          <a:fillRect/>
        </a:stretch>
      </xdr:blipFill>
      <xdr:spPr>
        <a:xfrm>
          <a:off x="7464369" y="200025"/>
          <a:ext cx="2175317" cy="590550"/>
        </a:xfrm>
        <a:prstGeom prst="rect">
          <a:avLst/>
        </a:prstGeom>
      </xdr:spPr>
    </xdr:pic>
    <xdr:clientData/>
  </xdr:twoCellAnchor>
  <xdr:twoCellAnchor>
    <xdr:from>
      <xdr:col>3</xdr:col>
      <xdr:colOff>466725</xdr:colOff>
      <xdr:row>46</xdr:row>
      <xdr:rowOff>80962</xdr:rowOff>
    </xdr:from>
    <xdr:to>
      <xdr:col>8</xdr:col>
      <xdr:colOff>314325</xdr:colOff>
      <xdr:row>60</xdr:row>
      <xdr:rowOff>157162</xdr:rowOff>
    </xdr:to>
    <xdr:graphicFrame macro="">
      <xdr:nvGraphicFramePr>
        <xdr:cNvPr id="4" name="Chart 3">
          <a:extLst>
            <a:ext uri="{FF2B5EF4-FFF2-40B4-BE49-F238E27FC236}">
              <a16:creationId xmlns:a16="http://schemas.microsoft.com/office/drawing/2014/main" id="{D009F255-D887-4D56-BC4B-D6A962ABD7C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552450</xdr:colOff>
      <xdr:row>1</xdr:row>
      <xdr:rowOff>182792</xdr:rowOff>
    </xdr:from>
    <xdr:to>
      <xdr:col>24</xdr:col>
      <xdr:colOff>244928</xdr:colOff>
      <xdr:row>41</xdr:row>
      <xdr:rowOff>182336</xdr:rowOff>
    </xdr:to>
    <xdr:pic>
      <xdr:nvPicPr>
        <xdr:cNvPr id="4" name="Picture 3">
          <a:extLst>
            <a:ext uri="{FF2B5EF4-FFF2-40B4-BE49-F238E27FC236}">
              <a16:creationId xmlns:a16="http://schemas.microsoft.com/office/drawing/2014/main" id="{311A37E1-081A-FE2C-FE6D-32334A7543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09625" y="420917"/>
          <a:ext cx="12836978" cy="7619544"/>
        </a:xfrm>
        <a:prstGeom prst="rect">
          <a:avLst/>
        </a:prstGeom>
      </xdr:spPr>
    </xdr:pic>
    <xdr:clientData/>
  </xdr:twoCellAnchor>
  <xdr:twoCellAnchor editAs="oneCell">
    <xdr:from>
      <xdr:col>0</xdr:col>
      <xdr:colOff>47626</xdr:colOff>
      <xdr:row>46</xdr:row>
      <xdr:rowOff>161926</xdr:rowOff>
    </xdr:from>
    <xdr:to>
      <xdr:col>23</xdr:col>
      <xdr:colOff>285751</xdr:colOff>
      <xdr:row>86</xdr:row>
      <xdr:rowOff>60526</xdr:rowOff>
    </xdr:to>
    <xdr:pic>
      <xdr:nvPicPr>
        <xdr:cNvPr id="2" name="Picture 1">
          <a:extLst>
            <a:ext uri="{FF2B5EF4-FFF2-40B4-BE49-F238E27FC236}">
              <a16:creationId xmlns:a16="http://schemas.microsoft.com/office/drawing/2014/main" id="{1CA00D83-A47D-6135-889B-5823BC2E8201}"/>
            </a:ext>
          </a:extLst>
        </xdr:cNvPr>
        <xdr:cNvPicPr>
          <a:picLocks noChangeAspect="1"/>
        </xdr:cNvPicPr>
      </xdr:nvPicPr>
      <xdr:blipFill>
        <a:blip xmlns:r="http://schemas.openxmlformats.org/officeDocument/2006/relationships" r:embed="rId2"/>
        <a:stretch>
          <a:fillRect/>
        </a:stretch>
      </xdr:blipFill>
      <xdr:spPr>
        <a:xfrm>
          <a:off x="47626" y="9020176"/>
          <a:ext cx="13068300" cy="75186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360045</xdr:colOff>
      <xdr:row>16</xdr:row>
      <xdr:rowOff>105728</xdr:rowOff>
    </xdr:from>
    <xdr:to>
      <xdr:col>3</xdr:col>
      <xdr:colOff>40005</xdr:colOff>
      <xdr:row>27</xdr:row>
      <xdr:rowOff>177166</xdr:rowOff>
    </xdr:to>
    <xdr:graphicFrame macro="">
      <xdr:nvGraphicFramePr>
        <xdr:cNvPr id="3" name="Chart 2">
          <a:extLst>
            <a:ext uri="{FF2B5EF4-FFF2-40B4-BE49-F238E27FC236}">
              <a16:creationId xmlns:a16="http://schemas.microsoft.com/office/drawing/2014/main" id="{23C11C7F-3F7F-AB8D-CC2D-CBA2651397F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291465</xdr:colOff>
      <xdr:row>16</xdr:row>
      <xdr:rowOff>85727</xdr:rowOff>
    </xdr:from>
    <xdr:to>
      <xdr:col>9</xdr:col>
      <xdr:colOff>274320</xdr:colOff>
      <xdr:row>27</xdr:row>
      <xdr:rowOff>179070</xdr:rowOff>
    </xdr:to>
    <xdr:graphicFrame macro="">
      <xdr:nvGraphicFramePr>
        <xdr:cNvPr id="7" name="NCIS_SROI_Chart">
          <a:extLst>
            <a:ext uri="{FF2B5EF4-FFF2-40B4-BE49-F238E27FC236}">
              <a16:creationId xmlns:a16="http://schemas.microsoft.com/office/drawing/2014/main" id="{7DD2E701-9C7F-EDD3-0D66-E2B027B109C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288804</xdr:colOff>
      <xdr:row>1</xdr:row>
      <xdr:rowOff>15965</xdr:rowOff>
    </xdr:from>
    <xdr:to>
      <xdr:col>15</xdr:col>
      <xdr:colOff>18295</xdr:colOff>
      <xdr:row>21</xdr:row>
      <xdr:rowOff>126999</xdr:rowOff>
    </xdr:to>
    <xdr:sp macro="" textlink="">
      <xdr:nvSpPr>
        <xdr:cNvPr id="2" name="TextBox 2">
          <a:extLst>
            <a:ext uri="{FF2B5EF4-FFF2-40B4-BE49-F238E27FC236}">
              <a16:creationId xmlns:a16="http://schemas.microsoft.com/office/drawing/2014/main" id="{7A344241-6392-43B4-BC6B-0F41EDD7576E}"/>
            </a:ext>
          </a:extLst>
        </xdr:cNvPr>
        <xdr:cNvSpPr txBox="1"/>
      </xdr:nvSpPr>
      <xdr:spPr>
        <a:xfrm>
          <a:off x="288804" y="195882"/>
          <a:ext cx="10365741" cy="3709367"/>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1100" b="1" i="0" baseline="0">
              <a:solidFill>
                <a:schemeClr val="dk1"/>
              </a:solidFill>
              <a:effectLst/>
              <a:latin typeface="Pero" panose="020F0506020203030304" pitchFamily="34" charset="0"/>
              <a:ea typeface="+mn-ea"/>
              <a:cs typeface="+mn-cs"/>
            </a:rPr>
            <a:t>*Level of certainty (lowest of the four dimensions evidence strengths, precision of impact estimates, assumptions, and sensitivity): </a:t>
          </a:r>
          <a:endParaRPr lang="en-US" sz="1050">
            <a:effectLst/>
            <a:latin typeface="Pero" panose="020F0506020203030304" pitchFamily="34" charset="0"/>
          </a:endParaRPr>
        </a:p>
        <a:p>
          <a:r>
            <a:rPr lang="en-US" sz="1050" b="0" i="0" baseline="0">
              <a:solidFill>
                <a:schemeClr val="dk1"/>
              </a:solidFill>
              <a:effectLst/>
              <a:latin typeface="Pero" panose="020F0506020203030304" pitchFamily="34" charset="0"/>
              <a:ea typeface="+mn-ea"/>
              <a:cs typeface="+mn-cs"/>
            </a:rPr>
            <a:t>Low	</a:t>
          </a:r>
          <a:r>
            <a:rPr lang="en-US" sz="1050" b="0" i="0" u="sng" baseline="0">
              <a:solidFill>
                <a:schemeClr val="dk1"/>
              </a:solidFill>
              <a:effectLst/>
              <a:latin typeface="Pero" panose="020F0506020203030304" pitchFamily="34" charset="0"/>
              <a:ea typeface="+mn-ea"/>
              <a:cs typeface="+mn-cs"/>
            </a:rPr>
            <a:t>Evidence strength</a:t>
          </a:r>
          <a:r>
            <a:rPr lang="en-US" sz="1050" b="0" i="0" baseline="0">
              <a:solidFill>
                <a:schemeClr val="dk1"/>
              </a:solidFill>
              <a:effectLst/>
              <a:latin typeface="Pero" panose="020F0506020203030304" pitchFamily="34" charset="0"/>
              <a:ea typeface="+mn-ea"/>
              <a:cs typeface="+mn-cs"/>
            </a:rPr>
            <a:t>: No direct measurement of household income or consumption expenditure. Income effects modeled from intermediate outcomes. </a:t>
          </a:r>
          <a:endParaRPr lang="en-US" sz="1050">
            <a:effectLst/>
            <a:latin typeface="Pero" panose="020F0506020203030304" pitchFamily="34" charset="0"/>
          </a:endParaRPr>
        </a:p>
        <a:p>
          <a:r>
            <a:rPr lang="en-US" sz="1050" b="0" i="0" baseline="0">
              <a:solidFill>
                <a:schemeClr val="dk1"/>
              </a:solidFill>
              <a:effectLst/>
              <a:latin typeface="Pero" panose="020F0506020203030304" pitchFamily="34" charset="0"/>
              <a:ea typeface="+mn-ea"/>
              <a:cs typeface="+mn-cs"/>
            </a:rPr>
            <a:t>	Weak evaluation design (observational, no counterfactual; small or non-representative samples). </a:t>
          </a:r>
          <a:endParaRPr lang="en-US" sz="1050">
            <a:effectLst/>
            <a:latin typeface="Pero" panose="020F0506020203030304" pitchFamily="34" charset="0"/>
          </a:endParaRPr>
        </a:p>
        <a:p>
          <a:r>
            <a:rPr lang="en-US" sz="1050" b="0" i="0" baseline="0">
              <a:solidFill>
                <a:schemeClr val="dk1"/>
              </a:solidFill>
              <a:effectLst/>
              <a:latin typeface="Pero" panose="020F0506020203030304" pitchFamily="34" charset="0"/>
              <a:ea typeface="+mn-ea"/>
              <a:cs typeface="+mn-cs"/>
            </a:rPr>
            <a:t>	Impact/outcome estimates from very different contexts (low generalizability).</a:t>
          </a:r>
          <a:endParaRPr lang="en-US" sz="1050">
            <a:effectLst/>
            <a:latin typeface="Pero" panose="020F0506020203030304" pitchFamily="34" charset="0"/>
          </a:endParaRPr>
        </a:p>
        <a:p>
          <a:r>
            <a:rPr lang="en-US" sz="1050" b="0" i="0" baseline="0">
              <a:solidFill>
                <a:schemeClr val="dk1"/>
              </a:solidFill>
              <a:effectLst/>
              <a:latin typeface="Pero" panose="020F0506020203030304" pitchFamily="34" charset="0"/>
              <a:ea typeface="+mn-ea"/>
              <a:cs typeface="+mn-cs"/>
            </a:rPr>
            <a:t>	</a:t>
          </a:r>
          <a:r>
            <a:rPr lang="en-US" sz="1050" b="0" i="0" u="sng" baseline="0">
              <a:solidFill>
                <a:schemeClr val="dk1"/>
              </a:solidFill>
              <a:effectLst/>
              <a:latin typeface="Pero" panose="020F0506020203030304" pitchFamily="34" charset="0"/>
              <a:ea typeface="+mn-ea"/>
              <a:cs typeface="+mn-cs"/>
            </a:rPr>
            <a:t>Precision of impact estimates</a:t>
          </a:r>
          <a:r>
            <a:rPr lang="en-US" sz="1050" b="0" i="0" baseline="0">
              <a:solidFill>
                <a:schemeClr val="dk1"/>
              </a:solidFill>
              <a:effectLst/>
              <a:latin typeface="Pero" panose="020F0506020203030304" pitchFamily="34" charset="0"/>
              <a:ea typeface="+mn-ea"/>
              <a:cs typeface="+mn-cs"/>
            </a:rPr>
            <a:t>: Confidence interval (CI) width &gt; 60% of point estimate or no CI reported at all. Point estimates not statistically significant.</a:t>
          </a:r>
          <a:endParaRPr lang="en-US" sz="1050">
            <a:effectLst/>
            <a:latin typeface="Pero" panose="020F0506020203030304" pitchFamily="34" charset="0"/>
          </a:endParaRPr>
        </a:p>
        <a:p>
          <a:r>
            <a:rPr lang="en-US" sz="1050" b="0" i="0" baseline="0">
              <a:solidFill>
                <a:schemeClr val="dk1"/>
              </a:solidFill>
              <a:effectLst/>
              <a:latin typeface="Pero" panose="020F0506020203030304" pitchFamily="34" charset="0"/>
              <a:ea typeface="+mn-ea"/>
              <a:cs typeface="+mn-cs"/>
            </a:rPr>
            <a:t>	</a:t>
          </a:r>
          <a:r>
            <a:rPr lang="en-US" sz="1050" b="0" i="0" u="sng" baseline="0">
              <a:solidFill>
                <a:schemeClr val="dk1"/>
              </a:solidFill>
              <a:effectLst/>
              <a:latin typeface="Pero" panose="020F0506020203030304" pitchFamily="34" charset="0"/>
              <a:ea typeface="+mn-ea"/>
              <a:cs typeface="+mn-cs"/>
            </a:rPr>
            <a:t>Assumptions</a:t>
          </a:r>
          <a:r>
            <a:rPr lang="en-US" sz="1050" b="0" i="0" baseline="0">
              <a:solidFill>
                <a:schemeClr val="dk1"/>
              </a:solidFill>
              <a:effectLst/>
              <a:latin typeface="Pero" panose="020F0506020203030304" pitchFamily="34" charset="0"/>
              <a:ea typeface="+mn-ea"/>
              <a:cs typeface="+mn-cs"/>
            </a:rPr>
            <a:t>: Multiple key assumptions with high uncertainty (best guess).</a:t>
          </a:r>
          <a:endParaRPr lang="en-US" sz="1050">
            <a:effectLst/>
            <a:latin typeface="Pero" panose="020F0506020203030304" pitchFamily="34" charset="0"/>
          </a:endParaRPr>
        </a:p>
        <a:p>
          <a:r>
            <a:rPr lang="en-US" sz="1050" b="0" i="0" baseline="0">
              <a:solidFill>
                <a:schemeClr val="dk1"/>
              </a:solidFill>
              <a:effectLst/>
              <a:latin typeface="Pero" panose="020F0506020203030304" pitchFamily="34" charset="0"/>
              <a:ea typeface="+mn-ea"/>
              <a:cs typeface="+mn-cs"/>
            </a:rPr>
            <a:t>	</a:t>
          </a:r>
          <a:r>
            <a:rPr lang="en-US" sz="1050" b="0" i="0" u="sng" baseline="0">
              <a:solidFill>
                <a:schemeClr val="dk1"/>
              </a:solidFill>
              <a:effectLst/>
              <a:latin typeface="Pero" panose="020F0506020203030304" pitchFamily="34" charset="0"/>
              <a:ea typeface="+mn-ea"/>
              <a:cs typeface="+mn-cs"/>
            </a:rPr>
            <a:t>Sensitivity</a:t>
          </a:r>
          <a:r>
            <a:rPr lang="en-US" sz="1050" b="0" i="0" baseline="0">
              <a:solidFill>
                <a:schemeClr val="dk1"/>
              </a:solidFill>
              <a:effectLst/>
              <a:latin typeface="Pero" panose="020F0506020203030304" pitchFamily="34" charset="0"/>
              <a:ea typeface="+mn-ea"/>
              <a:cs typeface="+mn-cs"/>
            </a:rPr>
            <a:t>: SROI values highly sensitive to key uncertain parameters. Small or plaussible variations (e.g. +/- 10-20%) in key parameters lead to large 	changes in SROI values or even a change in sign.</a:t>
          </a:r>
          <a:endParaRPr lang="en-US" sz="1050">
            <a:effectLst/>
            <a:latin typeface="Pero" panose="020F0506020203030304" pitchFamily="34" charset="0"/>
          </a:endParaRPr>
        </a:p>
        <a:p>
          <a:r>
            <a:rPr lang="en-US" sz="1050" b="0" i="0" baseline="0">
              <a:solidFill>
                <a:schemeClr val="dk1"/>
              </a:solidFill>
              <a:effectLst/>
              <a:latin typeface="Pero" panose="020F0506020203030304" pitchFamily="34" charset="0"/>
              <a:ea typeface="+mn-ea"/>
              <a:cs typeface="+mn-cs"/>
            </a:rPr>
            <a:t>Medium	</a:t>
          </a:r>
          <a:r>
            <a:rPr lang="en-US" sz="1050" b="0" i="0" u="sng" baseline="0">
              <a:solidFill>
                <a:schemeClr val="dk1"/>
              </a:solidFill>
              <a:effectLst/>
              <a:latin typeface="Pero" panose="020F0506020203030304" pitchFamily="34" charset="0"/>
              <a:ea typeface="+mn-ea"/>
              <a:cs typeface="+mn-cs"/>
            </a:rPr>
            <a:t>Evidence strength</a:t>
          </a:r>
          <a:r>
            <a:rPr lang="en-US" sz="1050" b="0" i="0" baseline="0">
              <a:solidFill>
                <a:schemeClr val="dk1"/>
              </a:solidFill>
              <a:effectLst/>
              <a:latin typeface="Pero" panose="020F0506020203030304" pitchFamily="34" charset="0"/>
              <a:ea typeface="+mn-ea"/>
              <a:cs typeface="+mn-cs"/>
            </a:rPr>
            <a:t>: Impact estimates based on self-reported income or validated proxy measures. </a:t>
          </a:r>
          <a:endParaRPr lang="en-US" sz="1050">
            <a:effectLst/>
            <a:latin typeface="Pero" panose="020F0506020203030304" pitchFamily="34" charset="0"/>
          </a:endParaRPr>
        </a:p>
        <a:p>
          <a:r>
            <a:rPr lang="en-US" sz="1050" b="0" i="0" baseline="0">
              <a:solidFill>
                <a:schemeClr val="dk1"/>
              </a:solidFill>
              <a:effectLst/>
              <a:latin typeface="Pero" panose="020F0506020203030304" pitchFamily="34" charset="0"/>
              <a:ea typeface="+mn-ea"/>
              <a:cs typeface="+mn-cs"/>
            </a:rPr>
            <a:t>	Observational or quasi-experimental evaluation design with some attempt at causal inference.</a:t>
          </a:r>
          <a:br>
            <a:rPr lang="en-US" sz="1050" b="0" i="0" baseline="0">
              <a:solidFill>
                <a:schemeClr val="dk1"/>
              </a:solidFill>
              <a:effectLst/>
              <a:latin typeface="Pero" panose="020F0506020203030304" pitchFamily="34" charset="0"/>
              <a:ea typeface="+mn-ea"/>
              <a:cs typeface="+mn-cs"/>
            </a:rPr>
          </a:br>
          <a:r>
            <a:rPr lang="en-US" sz="1050" b="0" i="0" baseline="0">
              <a:solidFill>
                <a:schemeClr val="dk1"/>
              </a:solidFill>
              <a:effectLst/>
              <a:latin typeface="Pero" panose="020F0506020203030304" pitchFamily="34" charset="0"/>
              <a:ea typeface="+mn-ea"/>
              <a:cs typeface="+mn-cs"/>
            </a:rPr>
            <a:t>	Impact estimates from similar contexts or adapted with reasoning.</a:t>
          </a:r>
          <a:endParaRPr lang="en-US" sz="1050">
            <a:effectLst/>
            <a:latin typeface="Pero" panose="020F0506020203030304" pitchFamily="34" charset="0"/>
          </a:endParaRPr>
        </a:p>
        <a:p>
          <a:r>
            <a:rPr lang="en-US" sz="1050" b="0" i="0" baseline="0">
              <a:solidFill>
                <a:schemeClr val="dk1"/>
              </a:solidFill>
              <a:effectLst/>
              <a:latin typeface="Pero" panose="020F0506020203030304" pitchFamily="34" charset="0"/>
              <a:ea typeface="+mn-ea"/>
              <a:cs typeface="+mn-cs"/>
            </a:rPr>
            <a:t>	</a:t>
          </a:r>
          <a:r>
            <a:rPr lang="en-US" sz="1050" b="0" i="0" u="sng" baseline="0">
              <a:solidFill>
                <a:schemeClr val="dk1"/>
              </a:solidFill>
              <a:effectLst/>
              <a:latin typeface="Pero" panose="020F0506020203030304" pitchFamily="34" charset="0"/>
              <a:ea typeface="+mn-ea"/>
              <a:cs typeface="+mn-cs"/>
            </a:rPr>
            <a:t>Precision of impact estimates</a:t>
          </a:r>
          <a:r>
            <a:rPr lang="en-US" sz="1050" b="0" i="0" baseline="0">
              <a:solidFill>
                <a:schemeClr val="dk1"/>
              </a:solidFill>
              <a:effectLst/>
              <a:latin typeface="Pero" panose="020F0506020203030304" pitchFamily="34" charset="0"/>
              <a:ea typeface="+mn-ea"/>
              <a:cs typeface="+mn-cs"/>
            </a:rPr>
            <a:t>: Moderately wide CI (CI width 30-60%). Borderline statistical significance of impact estimates.</a:t>
          </a:r>
          <a:endParaRPr lang="en-US" sz="1050">
            <a:effectLst/>
            <a:latin typeface="Pero" panose="020F0506020203030304" pitchFamily="34" charset="0"/>
          </a:endParaRPr>
        </a:p>
        <a:p>
          <a:r>
            <a:rPr lang="en-US" sz="1050" b="0" i="0" baseline="0">
              <a:solidFill>
                <a:schemeClr val="dk1"/>
              </a:solidFill>
              <a:effectLst/>
              <a:latin typeface="Pero" panose="020F0506020203030304" pitchFamily="34" charset="0"/>
              <a:ea typeface="+mn-ea"/>
              <a:cs typeface="+mn-cs"/>
            </a:rPr>
            <a:t>	</a:t>
          </a:r>
          <a:r>
            <a:rPr lang="en-US" sz="1050" b="0" i="0" u="sng" baseline="0">
              <a:solidFill>
                <a:schemeClr val="dk1"/>
              </a:solidFill>
              <a:effectLst/>
              <a:latin typeface="Pero" panose="020F0506020203030304" pitchFamily="34" charset="0"/>
              <a:ea typeface="+mn-ea"/>
              <a:cs typeface="+mn-cs"/>
            </a:rPr>
            <a:t>Assumptions</a:t>
          </a:r>
          <a:r>
            <a:rPr lang="en-US" sz="1050" b="0" i="0" baseline="0">
              <a:solidFill>
                <a:schemeClr val="dk1"/>
              </a:solidFill>
              <a:effectLst/>
              <a:latin typeface="Pero" panose="020F0506020203030304" pitchFamily="34" charset="0"/>
              <a:ea typeface="+mn-ea"/>
              <a:cs typeface="+mn-cs"/>
            </a:rPr>
            <a:t>: Some substantiated assumptions (with some form of support based on available evidence or logical reasoning). 	</a:t>
          </a:r>
          <a:endParaRPr lang="en-US" sz="1050">
            <a:effectLst/>
            <a:latin typeface="Pero" panose="020F0506020203030304" pitchFamily="34" charset="0"/>
          </a:endParaRPr>
        </a:p>
        <a:p>
          <a:r>
            <a:rPr lang="en-US" sz="1050" b="0" i="0" baseline="0">
              <a:solidFill>
                <a:schemeClr val="dk1"/>
              </a:solidFill>
              <a:effectLst/>
              <a:latin typeface="Pero" panose="020F0506020203030304" pitchFamily="34" charset="0"/>
              <a:ea typeface="+mn-ea"/>
              <a:cs typeface="+mn-cs"/>
            </a:rPr>
            <a:t>	</a:t>
          </a:r>
          <a:r>
            <a:rPr lang="en-US" sz="1050" b="0" i="0" u="sng" baseline="0">
              <a:solidFill>
                <a:schemeClr val="dk1"/>
              </a:solidFill>
              <a:effectLst/>
              <a:latin typeface="Pero" panose="020F0506020203030304" pitchFamily="34" charset="0"/>
              <a:ea typeface="+mn-ea"/>
              <a:cs typeface="+mn-cs"/>
            </a:rPr>
            <a:t>Sensitivity</a:t>
          </a:r>
          <a:r>
            <a:rPr lang="en-US" sz="1050" b="0" i="0" baseline="0">
              <a:solidFill>
                <a:schemeClr val="dk1"/>
              </a:solidFill>
              <a:effectLst/>
              <a:latin typeface="Pero" panose="020F0506020203030304" pitchFamily="34" charset="0"/>
              <a:ea typeface="+mn-ea"/>
              <a:cs typeface="+mn-cs"/>
            </a:rPr>
            <a:t>: SROI values are moderately sensitive to key parameters. Reasonable variation in inputs leads to noticeable but not decision-changing shifts in 	SROI.</a:t>
          </a:r>
          <a:endParaRPr lang="en-US" sz="1050">
            <a:effectLst/>
            <a:latin typeface="Pero" panose="020F0506020203030304" pitchFamily="34" charset="0"/>
          </a:endParaRPr>
        </a:p>
        <a:p>
          <a:r>
            <a:rPr lang="en-US" sz="1050" b="0" i="0" baseline="0">
              <a:solidFill>
                <a:schemeClr val="dk1"/>
              </a:solidFill>
              <a:effectLst/>
              <a:latin typeface="Pero" panose="020F0506020203030304" pitchFamily="34" charset="0"/>
              <a:ea typeface="+mn-ea"/>
              <a:cs typeface="+mn-cs"/>
            </a:rPr>
            <a:t>High	</a:t>
          </a:r>
          <a:r>
            <a:rPr lang="en-US" sz="1050" b="0" i="0" u="sng" baseline="0">
              <a:solidFill>
                <a:schemeClr val="dk1"/>
              </a:solidFill>
              <a:effectLst/>
              <a:latin typeface="Pero" panose="020F0506020203030304" pitchFamily="34" charset="0"/>
              <a:ea typeface="+mn-ea"/>
              <a:cs typeface="+mn-cs"/>
            </a:rPr>
            <a:t>Evidence strength</a:t>
          </a:r>
          <a:r>
            <a:rPr lang="en-US" sz="1050" b="0" i="0" baseline="0">
              <a:solidFill>
                <a:schemeClr val="dk1"/>
              </a:solidFill>
              <a:effectLst/>
              <a:latin typeface="Pero" panose="020F0506020203030304" pitchFamily="34" charset="0"/>
              <a:ea typeface="+mn-ea"/>
              <a:cs typeface="+mn-cs"/>
            </a:rPr>
            <a:t>: Direct measurement of household consumption expenditure. </a:t>
          </a:r>
          <a:br>
            <a:rPr lang="en-US" sz="1050" b="0" i="0" baseline="0">
              <a:solidFill>
                <a:schemeClr val="dk1"/>
              </a:solidFill>
              <a:effectLst/>
              <a:latin typeface="Pero" panose="020F0506020203030304" pitchFamily="34" charset="0"/>
              <a:ea typeface="+mn-ea"/>
              <a:cs typeface="+mn-cs"/>
            </a:rPr>
          </a:br>
          <a:r>
            <a:rPr lang="en-US" sz="1050" b="0" i="0" baseline="0">
              <a:solidFill>
                <a:schemeClr val="dk1"/>
              </a:solidFill>
              <a:effectLst/>
              <a:latin typeface="Pero" panose="020F0506020203030304" pitchFamily="34" charset="0"/>
              <a:ea typeface="+mn-ea"/>
              <a:cs typeface="+mn-cs"/>
            </a:rPr>
            <a:t>	Rigorous experimental/quasi-experimental design with strong causal identification.</a:t>
          </a:r>
          <a:br>
            <a:rPr lang="en-US" sz="1050" b="0" i="0" baseline="0">
              <a:solidFill>
                <a:schemeClr val="dk1"/>
              </a:solidFill>
              <a:effectLst/>
              <a:latin typeface="Pero" panose="020F0506020203030304" pitchFamily="34" charset="0"/>
              <a:ea typeface="+mn-ea"/>
              <a:cs typeface="+mn-cs"/>
            </a:rPr>
          </a:br>
          <a:r>
            <a:rPr lang="en-US" sz="1050" b="0" i="0" baseline="0">
              <a:solidFill>
                <a:schemeClr val="dk1"/>
              </a:solidFill>
              <a:effectLst/>
              <a:latin typeface="Pero" panose="020F0506020203030304" pitchFamily="34" charset="0"/>
              <a:ea typeface="+mn-ea"/>
              <a:cs typeface="+mn-cs"/>
            </a:rPr>
            <a:t>	Impact estimates from coffee-growing households in East Africa or validated external validity.</a:t>
          </a:r>
          <a:endParaRPr lang="en-US" sz="1050">
            <a:effectLst/>
            <a:latin typeface="Pero" panose="020F0506020203030304" pitchFamily="34" charset="0"/>
          </a:endParaRPr>
        </a:p>
        <a:p>
          <a:r>
            <a:rPr lang="en-US" sz="1050" b="0" i="0" baseline="0">
              <a:solidFill>
                <a:schemeClr val="dk1"/>
              </a:solidFill>
              <a:effectLst/>
              <a:latin typeface="Pero" panose="020F0506020203030304" pitchFamily="34" charset="0"/>
              <a:ea typeface="+mn-ea"/>
              <a:cs typeface="+mn-cs"/>
            </a:rPr>
            <a:t>	</a:t>
          </a:r>
          <a:r>
            <a:rPr lang="en-US" sz="1050" b="0" i="0" u="sng" baseline="0">
              <a:solidFill>
                <a:schemeClr val="dk1"/>
              </a:solidFill>
              <a:effectLst/>
              <a:latin typeface="Pero" panose="020F0506020203030304" pitchFamily="34" charset="0"/>
              <a:ea typeface="+mn-ea"/>
              <a:cs typeface="+mn-cs"/>
            </a:rPr>
            <a:t>Precision of impact estimates</a:t>
          </a:r>
          <a:r>
            <a:rPr lang="en-US" sz="1050" b="0" i="0" baseline="0">
              <a:solidFill>
                <a:schemeClr val="dk1"/>
              </a:solidFill>
              <a:effectLst/>
              <a:latin typeface="Pero" panose="020F0506020203030304" pitchFamily="34" charset="0"/>
              <a:ea typeface="+mn-ea"/>
              <a:cs typeface="+mn-cs"/>
            </a:rPr>
            <a:t>: Income estimates significant at 5% (p&lt;0.05) with narrow confidence intervals (i.e., CI width &lt; 31% of the point estimate).</a:t>
          </a:r>
          <a:endParaRPr lang="en-US" sz="1050">
            <a:effectLst/>
            <a:latin typeface="Pero" panose="020F0506020203030304" pitchFamily="34" charset="0"/>
          </a:endParaRPr>
        </a:p>
        <a:p>
          <a:r>
            <a:rPr lang="en-US" sz="1050" b="0" i="0" baseline="0">
              <a:solidFill>
                <a:schemeClr val="dk1"/>
              </a:solidFill>
              <a:effectLst/>
              <a:latin typeface="Pero" panose="020F0506020203030304" pitchFamily="34" charset="0"/>
              <a:ea typeface="+mn-ea"/>
              <a:cs typeface="+mn-cs"/>
            </a:rPr>
            <a:t>	</a:t>
          </a:r>
          <a:r>
            <a:rPr lang="en-US" sz="1050" b="0" i="0" u="sng" baseline="0">
              <a:solidFill>
                <a:schemeClr val="dk1"/>
              </a:solidFill>
              <a:effectLst/>
              <a:latin typeface="Pero" panose="020F0506020203030304" pitchFamily="34" charset="0"/>
              <a:ea typeface="+mn-ea"/>
              <a:cs typeface="+mn-cs"/>
            </a:rPr>
            <a:t>Assumptions</a:t>
          </a:r>
          <a:r>
            <a:rPr lang="en-US" sz="1050" b="0" i="0" baseline="0">
              <a:solidFill>
                <a:schemeClr val="dk1"/>
              </a:solidFill>
              <a:effectLst/>
              <a:latin typeface="Pero" panose="020F0506020203030304" pitchFamily="34" charset="0"/>
              <a:ea typeface="+mn-ea"/>
              <a:cs typeface="+mn-cs"/>
            </a:rPr>
            <a:t>: All key assumptions are empirically grounded or sensitivity-tested.</a:t>
          </a:r>
          <a:endParaRPr lang="en-US" sz="1050">
            <a:effectLst/>
            <a:latin typeface="Pero" panose="020F0506020203030304" pitchFamily="34" charset="0"/>
          </a:endParaRPr>
        </a:p>
        <a:p>
          <a:r>
            <a:rPr lang="en-US" sz="1050" b="0" i="0" baseline="0">
              <a:solidFill>
                <a:schemeClr val="dk1"/>
              </a:solidFill>
              <a:effectLst/>
              <a:latin typeface="Pero" panose="020F0506020203030304" pitchFamily="34" charset="0"/>
              <a:ea typeface="+mn-ea"/>
              <a:cs typeface="+mn-cs"/>
            </a:rPr>
            <a:t>	</a:t>
          </a:r>
          <a:r>
            <a:rPr lang="en-US" sz="1050" b="0" i="0" u="sng" baseline="0">
              <a:solidFill>
                <a:schemeClr val="dk1"/>
              </a:solidFill>
              <a:effectLst/>
              <a:latin typeface="Pero" panose="020F0506020203030304" pitchFamily="34" charset="0"/>
              <a:ea typeface="+mn-ea"/>
              <a:cs typeface="+mn-cs"/>
            </a:rPr>
            <a:t>Sensitivity</a:t>
          </a:r>
          <a:r>
            <a:rPr lang="en-US" sz="1050" b="0" i="0" baseline="0">
              <a:solidFill>
                <a:schemeClr val="dk1"/>
              </a:solidFill>
              <a:effectLst/>
              <a:latin typeface="Pero" panose="020F0506020203030304" pitchFamily="34" charset="0"/>
              <a:ea typeface="+mn-ea"/>
              <a:cs typeface="+mn-cs"/>
            </a:rPr>
            <a:t>: SROI values are robust to sensitivity analysis. Changes in inputs lead to only modest changes in SROI values, and conclusions remain consistent.</a:t>
          </a:r>
          <a:endParaRPr lang="en-US" sz="1050">
            <a:effectLst/>
            <a:latin typeface="Pero" panose="020F0506020203030304" pitchFamily="34" charset="0"/>
          </a:endParaRPr>
        </a:p>
      </xdr:txBody>
    </xdr:sp>
    <xdr:clientData/>
  </xdr:twoCellAnchor>
  <xdr:twoCellAnchor>
    <xdr:from>
      <xdr:col>0</xdr:col>
      <xdr:colOff>280758</xdr:colOff>
      <xdr:row>22</xdr:row>
      <xdr:rowOff>110972</xdr:rowOff>
    </xdr:from>
    <xdr:to>
      <xdr:col>15</xdr:col>
      <xdr:colOff>31749</xdr:colOff>
      <xdr:row>26</xdr:row>
      <xdr:rowOff>158537</xdr:rowOff>
    </xdr:to>
    <xdr:sp macro="" textlink="">
      <xdr:nvSpPr>
        <xdr:cNvPr id="3" name="TextBox 2">
          <a:extLst>
            <a:ext uri="{FF2B5EF4-FFF2-40B4-BE49-F238E27FC236}">
              <a16:creationId xmlns:a16="http://schemas.microsoft.com/office/drawing/2014/main" id="{6B3B80F3-9FE0-4725-B51C-18D2A7236D43}"/>
            </a:ext>
          </a:extLst>
        </xdr:cNvPr>
        <xdr:cNvSpPr txBox="1"/>
      </xdr:nvSpPr>
      <xdr:spPr>
        <a:xfrm>
          <a:off x="280758" y="4069139"/>
          <a:ext cx="10387241" cy="767231"/>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1100" b="1" i="0" u="none" strike="noStrike" baseline="0">
              <a:solidFill>
                <a:schemeClr val="dk1"/>
              </a:solidFill>
              <a:latin typeface="Pero" panose="020F0506020203030304" pitchFamily="34" charset="0"/>
              <a:ea typeface="+mn-ea"/>
              <a:cs typeface="+mn-cs"/>
            </a:rPr>
            <a:t>*Methodological rigor: </a:t>
          </a:r>
          <a:endParaRPr lang="en-US" sz="1100" b="0" i="0" u="none" strike="noStrike" baseline="0">
            <a:solidFill>
              <a:schemeClr val="dk1"/>
            </a:solidFill>
            <a:latin typeface="Pero" panose="020F0506020203030304" pitchFamily="34" charset="0"/>
            <a:ea typeface="+mn-ea"/>
            <a:cs typeface="+mn-cs"/>
          </a:endParaRPr>
        </a:p>
        <a:p>
          <a:r>
            <a:rPr lang="en-US" sz="1050" b="0" i="0" baseline="0">
              <a:solidFill>
                <a:schemeClr val="dk1"/>
              </a:solidFill>
              <a:effectLst/>
              <a:latin typeface="Pero" panose="020F0506020203030304" pitchFamily="34" charset="0"/>
              <a:ea typeface="+mn-ea"/>
              <a:cs typeface="+mn-cs"/>
            </a:rPr>
            <a:t>Fair	Design and methods have significant limitations that reduce confidence in causal claims.</a:t>
          </a:r>
          <a:endParaRPr lang="en-US" sz="1050">
            <a:effectLst/>
            <a:latin typeface="Pero" panose="020F0506020203030304" pitchFamily="34" charset="0"/>
          </a:endParaRPr>
        </a:p>
        <a:p>
          <a:r>
            <a:rPr lang="en-US" sz="1050" b="0" i="0" baseline="0">
              <a:solidFill>
                <a:schemeClr val="dk1"/>
              </a:solidFill>
              <a:effectLst/>
              <a:latin typeface="Pero" panose="020F0506020203030304" pitchFamily="34" charset="0"/>
              <a:ea typeface="+mn-ea"/>
              <a:cs typeface="+mn-cs"/>
            </a:rPr>
            <a:t>Good	Design is generally appropriate, with clear and justified sampling and analytical methods, though some limitations remain	</a:t>
          </a:r>
          <a:endParaRPr lang="en-US" sz="1050">
            <a:effectLst/>
            <a:latin typeface="Pero" panose="020F0506020203030304" pitchFamily="34" charset="0"/>
          </a:endParaRPr>
        </a:p>
        <a:p>
          <a:r>
            <a:rPr lang="en-US" sz="1050" b="0" i="0" baseline="0">
              <a:solidFill>
                <a:schemeClr val="dk1"/>
              </a:solidFill>
              <a:effectLst/>
              <a:latin typeface="Pero" panose="020F0506020203030304" pitchFamily="34" charset="0"/>
              <a:ea typeface="+mn-ea"/>
              <a:cs typeface="+mn-cs"/>
            </a:rPr>
            <a:t>Excellent	Rigorous design with well-documented, robust methods that effectively address potential biases and support strong causal inferences.</a:t>
          </a:r>
          <a:endParaRPr lang="en-US" sz="1050">
            <a:effectLst/>
            <a:latin typeface="Pero" panose="020F0506020203030304" pitchFamily="34" charset="0"/>
          </a:endParaRPr>
        </a:p>
      </xdr:txBody>
    </xdr:sp>
    <xdr:clientData/>
  </xdr:twoCellAnchor>
  <xdr:twoCellAnchor>
    <xdr:from>
      <xdr:col>0</xdr:col>
      <xdr:colOff>296334</xdr:colOff>
      <xdr:row>32</xdr:row>
      <xdr:rowOff>158750</xdr:rowOff>
    </xdr:from>
    <xdr:to>
      <xdr:col>15</xdr:col>
      <xdr:colOff>15452</xdr:colOff>
      <xdr:row>40</xdr:row>
      <xdr:rowOff>14394</xdr:rowOff>
    </xdr:to>
    <xdr:sp macro="" textlink="">
      <xdr:nvSpPr>
        <xdr:cNvPr id="4" name="TextBox 3">
          <a:extLst>
            <a:ext uri="{FF2B5EF4-FFF2-40B4-BE49-F238E27FC236}">
              <a16:creationId xmlns:a16="http://schemas.microsoft.com/office/drawing/2014/main" id="{42200C87-7C1D-46F9-94E1-750E6918F02D}"/>
            </a:ext>
          </a:extLst>
        </xdr:cNvPr>
        <xdr:cNvSpPr txBox="1"/>
      </xdr:nvSpPr>
      <xdr:spPr>
        <a:xfrm>
          <a:off x="296334" y="5916083"/>
          <a:ext cx="10355368" cy="129497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50" b="1">
              <a:solidFill>
                <a:schemeClr val="dk1"/>
              </a:solidFill>
              <a:effectLst/>
              <a:latin typeface="Pero" panose="020F0506020203030304" pitchFamily="34" charset="0"/>
              <a:ea typeface="+mn-ea"/>
              <a:cs typeface="+mn-cs"/>
            </a:rPr>
            <a:t>*Discrount rate</a:t>
          </a:r>
          <a:r>
            <a:rPr lang="en-US" sz="1050">
              <a:solidFill>
                <a:schemeClr val="dk1"/>
              </a:solidFill>
              <a:effectLst/>
              <a:latin typeface="Pero" panose="020F0506020203030304" pitchFamily="34" charset="0"/>
              <a:ea typeface="+mn-ea"/>
              <a:cs typeface="+mn-cs"/>
            </a:rPr>
            <a:t>:</a:t>
          </a:r>
          <a:r>
            <a:rPr lang="en-US" sz="1050" baseline="0">
              <a:solidFill>
                <a:schemeClr val="dk1"/>
              </a:solidFill>
              <a:effectLst/>
              <a:latin typeface="Pero" panose="020F0506020203030304" pitchFamily="34" charset="0"/>
              <a:ea typeface="+mn-ea"/>
              <a:cs typeface="+mn-cs"/>
            </a:rPr>
            <a:t> </a:t>
          </a:r>
          <a:r>
            <a:rPr lang="en-US" sz="1050">
              <a:solidFill>
                <a:schemeClr val="dk1"/>
              </a:solidFill>
              <a:effectLst/>
              <a:latin typeface="Pero" panose="020F0506020203030304" pitchFamily="34" charset="0"/>
              <a:ea typeface="+mn-ea"/>
              <a:cs typeface="+mn-cs"/>
            </a:rPr>
            <a:t>When a program's costs and impacts are distributed across time, it is necessary to discount them back to their present value in the base year of the program to account for an organization's time preference for both costs and benefits. The social opportunity cost of capital (SOC) is used as the standard discount rate in this analysis, in part because the high variation and scarce data on time preference in the developing world makes it impossible to use people's social rate of time preference to establish a standard discount rate. </a:t>
          </a:r>
        </a:p>
        <a:p>
          <a:r>
            <a:rPr lang="en-US" sz="1050">
              <a:solidFill>
                <a:schemeClr val="dk1"/>
              </a:solidFill>
              <a:effectLst/>
              <a:latin typeface="Pero" panose="020F0506020203030304" pitchFamily="34" charset="0"/>
              <a:ea typeface="+mn-ea"/>
              <a:cs typeface="+mn-cs"/>
            </a:rPr>
            <a:t>Looking at the median discount rate, calculated based on the SOC, across countries suggests that anything between 10-12 percent is a reasonable rate for discounting the costs and benefits of rural livelihoods programs in developing countries. We've chosen to set the discount rate to 10 percent to ensure consistency across all programs in the analysis. (For a list of discount rates used by various governments and organizations, see Table 2 of Dhaliwal et al., 2013.)</a:t>
          </a:r>
        </a:p>
        <a:p>
          <a:r>
            <a:rPr lang="en-US" sz="1050">
              <a:solidFill>
                <a:schemeClr val="dk1"/>
              </a:solidFill>
              <a:effectLst/>
              <a:latin typeface="Pero" panose="020F0506020203030304" pitchFamily="34" charset="0"/>
              <a:ea typeface="+mn-ea"/>
              <a:cs typeface="+mn-cs"/>
            </a:rPr>
            <a:t> </a:t>
          </a:r>
        </a:p>
      </xdr:txBody>
    </xdr:sp>
    <xdr:clientData/>
  </xdr:twoCellAnchor>
  <xdr:twoCellAnchor>
    <xdr:from>
      <xdr:col>0</xdr:col>
      <xdr:colOff>299296</xdr:colOff>
      <xdr:row>27</xdr:row>
      <xdr:rowOff>106679</xdr:rowOff>
    </xdr:from>
    <xdr:to>
      <xdr:col>15</xdr:col>
      <xdr:colOff>36618</xdr:colOff>
      <xdr:row>32</xdr:row>
      <xdr:rowOff>70274</xdr:rowOff>
    </xdr:to>
    <xdr:sp macro="" textlink="">
      <xdr:nvSpPr>
        <xdr:cNvPr id="5" name="TextBox 4">
          <a:extLst>
            <a:ext uri="{FF2B5EF4-FFF2-40B4-BE49-F238E27FC236}">
              <a16:creationId xmlns:a16="http://schemas.microsoft.com/office/drawing/2014/main" id="{0A0A22AA-66A5-4F66-8C21-0B34553D6375}"/>
            </a:ext>
          </a:extLst>
        </xdr:cNvPr>
        <xdr:cNvSpPr txBox="1"/>
      </xdr:nvSpPr>
      <xdr:spPr>
        <a:xfrm>
          <a:off x="299296" y="4964429"/>
          <a:ext cx="10373572" cy="863178"/>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u="none" strike="noStrike" baseline="0">
              <a:solidFill>
                <a:schemeClr val="dk1"/>
              </a:solidFill>
              <a:latin typeface="Pero" panose="020F0506020203030304" pitchFamily="34" charset="0"/>
              <a:ea typeface="+mn-ea"/>
              <a:cs typeface="+mn-cs"/>
            </a:rPr>
            <a:t>Impact measure: </a:t>
          </a:r>
          <a:r>
            <a:rPr lang="en-US" sz="1100" b="0" i="0" u="none" strike="noStrike" baseline="0">
              <a:solidFill>
                <a:schemeClr val="dk1"/>
              </a:solidFill>
              <a:latin typeface="Pero" panose="020F0506020203030304" pitchFamily="34" charset="0"/>
              <a:ea typeface="+mn-ea"/>
              <a:cs typeface="+mn-cs"/>
            </a:rPr>
            <a:t>The forecast does not provide data on total household income. Instead, it focuses on the intermediate outcome of coffee, Chia and Macadamia production. We assume yield effects of practice adoption to calcuate coffee revenues, costs associated with practice adoption to calculate coffee and maize profits and that changes in practices adoption do not affect other income-gernerating activities of the household, so that a change in coffee and maize profits translates directly into an equal change in total household income.</a:t>
          </a:r>
        </a:p>
      </xdr:txBody>
    </xdr:sp>
    <xdr:clientData/>
  </xdr:twoCellAnchor>
  <xdr:twoCellAnchor>
    <xdr:from>
      <xdr:col>0</xdr:col>
      <xdr:colOff>306917</xdr:colOff>
      <xdr:row>40</xdr:row>
      <xdr:rowOff>129964</xdr:rowOff>
    </xdr:from>
    <xdr:to>
      <xdr:col>15</xdr:col>
      <xdr:colOff>56727</xdr:colOff>
      <xdr:row>46</xdr:row>
      <xdr:rowOff>10583</xdr:rowOff>
    </xdr:to>
    <xdr:sp macro="" textlink="">
      <xdr:nvSpPr>
        <xdr:cNvPr id="6" name="TextBox 5">
          <a:extLst>
            <a:ext uri="{FF2B5EF4-FFF2-40B4-BE49-F238E27FC236}">
              <a16:creationId xmlns:a16="http://schemas.microsoft.com/office/drawing/2014/main" id="{B3E0D4C1-7685-4C53-82B9-0397568A364D}"/>
            </a:ext>
          </a:extLst>
        </xdr:cNvPr>
        <xdr:cNvSpPr txBox="1"/>
      </xdr:nvSpPr>
      <xdr:spPr>
        <a:xfrm>
          <a:off x="306917" y="7326631"/>
          <a:ext cx="10386060" cy="96011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50" b="1">
              <a:solidFill>
                <a:schemeClr val="dk1"/>
              </a:solidFill>
              <a:effectLst/>
              <a:latin typeface="Pero" panose="020F0506020203030304" pitchFamily="34" charset="0"/>
              <a:ea typeface="+mn-ea"/>
              <a:cs typeface="+mn-cs"/>
            </a:rPr>
            <a:t>*Accounting for inflation: </a:t>
          </a:r>
          <a:r>
            <a:rPr lang="en-US" sz="1050" b="0">
              <a:solidFill>
                <a:schemeClr val="dk1"/>
              </a:solidFill>
              <a:effectLst/>
              <a:latin typeface="Pero" panose="020F0506020203030304" pitchFamily="34" charset="0"/>
              <a:ea typeface="+mn-ea"/>
              <a:cs typeface="+mn-cs"/>
            </a:rPr>
            <a:t>We</a:t>
          </a:r>
          <a:r>
            <a:rPr lang="en-US" sz="1050" b="0" baseline="0">
              <a:solidFill>
                <a:schemeClr val="dk1"/>
              </a:solidFill>
              <a:effectLst/>
              <a:latin typeface="Pero" panose="020F0506020203030304" pitchFamily="34" charset="0"/>
              <a:ea typeface="+mn-ea"/>
              <a:cs typeface="+mn-cs"/>
            </a:rPr>
            <a:t> present cash flows in real vaules, deflating coffee prices and labor costs (for the calculation of profts from coffee) as well as project costs back to real value in base year (2018 for C2019 and 2019 for C2020), using average annual LCU inflation rate over time elapsed between base year and the incurrence of benefits/costs. We take the present value of these cash flows and then inflate forward to the year of analysis (2021), using average annual LCU inflation rate over time elapsed between base year and year of analysis. We selected 2021 as year of analysis because it aligns with the latest international poverty line and purchasing power parity (PPP) update (World Bank Group 2025).</a:t>
          </a:r>
        </a:p>
      </xdr:txBody>
    </xdr:sp>
    <xdr:clientData/>
  </xdr:twoCellAnchor>
  <xdr:twoCellAnchor>
    <xdr:from>
      <xdr:col>0</xdr:col>
      <xdr:colOff>306916</xdr:colOff>
      <xdr:row>46</xdr:row>
      <xdr:rowOff>102023</xdr:rowOff>
    </xdr:from>
    <xdr:to>
      <xdr:col>15</xdr:col>
      <xdr:colOff>56727</xdr:colOff>
      <xdr:row>50</xdr:row>
      <xdr:rowOff>63501</xdr:rowOff>
    </xdr:to>
    <xdr:sp macro="" textlink="">
      <xdr:nvSpPr>
        <xdr:cNvPr id="7" name="TextBox 6">
          <a:extLst>
            <a:ext uri="{FF2B5EF4-FFF2-40B4-BE49-F238E27FC236}">
              <a16:creationId xmlns:a16="http://schemas.microsoft.com/office/drawing/2014/main" id="{EB3D22E8-94D0-4E53-AE3E-7675E0A05137}"/>
            </a:ext>
          </a:extLst>
        </xdr:cNvPr>
        <xdr:cNvSpPr txBox="1"/>
      </xdr:nvSpPr>
      <xdr:spPr>
        <a:xfrm>
          <a:off x="306916" y="8378190"/>
          <a:ext cx="10386061" cy="681144"/>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50" b="1" baseline="0">
              <a:solidFill>
                <a:schemeClr val="dk1"/>
              </a:solidFill>
              <a:effectLst/>
              <a:latin typeface="Pero" panose="020F0506020203030304" pitchFamily="34" charset="0"/>
              <a:ea typeface="+mn-ea"/>
              <a:cs typeface="+mn-cs"/>
            </a:rPr>
            <a:t>*Non-implementation costs share: </a:t>
          </a:r>
          <a:r>
            <a:rPr lang="en-US" sz="1050" b="0">
              <a:latin typeface="Pero" panose="020F0506020203030304" pitchFamily="34" charset="0"/>
            </a:rPr>
            <a:t>This parameter captures the share of the total project budget allocated to costs not directly related to project implementation — such as administrative overhead, institutional support functions, or organizational indirect costs applied by the implementing organization. We assume these</a:t>
          </a:r>
          <a:r>
            <a:rPr lang="en-US" sz="1050" b="0" baseline="0">
              <a:latin typeface="Pero" panose="020F0506020203030304" pitchFamily="34" charset="0"/>
            </a:rPr>
            <a:t> costs are not directly related to implementing the program and therefore exclude non-implementation/indirect costs from the considered project costs i</a:t>
          </a:r>
          <a:r>
            <a:rPr lang="en-US" sz="1050" b="0">
              <a:latin typeface="Pero" panose="020F0506020203030304" pitchFamily="34" charset="0"/>
            </a:rPr>
            <a:t>n the base case. </a:t>
          </a:r>
          <a:endParaRPr lang="en-US" sz="1050" b="0">
            <a:solidFill>
              <a:schemeClr val="dk1"/>
            </a:solidFill>
            <a:effectLst/>
            <a:latin typeface="Pero" panose="020F0506020203030304" pitchFamily="34" charset="0"/>
            <a:ea typeface="+mn-ea"/>
            <a:cs typeface="+mn-cs"/>
          </a:endParaRPr>
        </a:p>
      </xdr:txBody>
    </xdr:sp>
    <xdr:clientData/>
  </xdr:twoCellAnchor>
  <xdr:twoCellAnchor>
    <xdr:from>
      <xdr:col>0</xdr:col>
      <xdr:colOff>303107</xdr:colOff>
      <xdr:row>50</xdr:row>
      <xdr:rowOff>140545</xdr:rowOff>
    </xdr:from>
    <xdr:to>
      <xdr:col>15</xdr:col>
      <xdr:colOff>56728</xdr:colOff>
      <xdr:row>63</xdr:row>
      <xdr:rowOff>95249</xdr:rowOff>
    </xdr:to>
    <xdr:sp macro="" textlink="">
      <xdr:nvSpPr>
        <xdr:cNvPr id="8" name="TextBox 7">
          <a:extLst>
            <a:ext uri="{FF2B5EF4-FFF2-40B4-BE49-F238E27FC236}">
              <a16:creationId xmlns:a16="http://schemas.microsoft.com/office/drawing/2014/main" id="{61C04E0C-11BA-48AD-9E2D-993A47E91782}"/>
            </a:ext>
          </a:extLst>
        </xdr:cNvPr>
        <xdr:cNvSpPr txBox="1"/>
      </xdr:nvSpPr>
      <xdr:spPr>
        <a:xfrm>
          <a:off x="303107" y="9136378"/>
          <a:ext cx="10389871" cy="2293621"/>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baseline="0">
              <a:solidFill>
                <a:schemeClr val="dk1"/>
              </a:solidFill>
              <a:effectLst/>
              <a:latin typeface="+mn-lt"/>
              <a:ea typeface="+mn-ea"/>
              <a:cs typeface="+mn-cs"/>
            </a:rPr>
            <a:t>*</a:t>
          </a:r>
          <a:r>
            <a:rPr lang="en-US" sz="1050" b="1" baseline="0">
              <a:solidFill>
                <a:schemeClr val="dk1"/>
              </a:solidFill>
              <a:effectLst/>
              <a:latin typeface="Pero" panose="020F0506020203030304" pitchFamily="34" charset="0"/>
              <a:ea typeface="+mn-ea"/>
              <a:cs typeface="+mn-cs"/>
            </a:rPr>
            <a:t>Practice adoption over time: </a:t>
          </a:r>
          <a:r>
            <a:rPr lang="en-US" sz="1050" b="0" baseline="0">
              <a:solidFill>
                <a:schemeClr val="dk1"/>
              </a:solidFill>
              <a:effectLst/>
              <a:latin typeface="Pero" panose="020F0506020203030304" pitchFamily="34" charset="0"/>
              <a:ea typeface="+mn-ea"/>
              <a:cs typeface="+mn-cs"/>
            </a:rPr>
            <a:t>The available evaluation data does not allow us to estimate the dynamic effects of the coffee training on practice adoption - it is possible that the effects became either stronger or weaker over time. We apply findings from a previous evaluation of TechnoServe's coffee training program in East Africa (IPE Tripe Line, 2017) to model the time path of impact. This allows us to approximate the return on the training over a period of 10 years. The Triple Line evaluation concluded that 63% of the improvement in practice adoption achieved by the end of the training period remained 5 years later. Assuming the decay in farmers' practice adoption is linear implies an annual decay of 7.3% of the initial improvement.</a:t>
          </a:r>
        </a:p>
        <a:p>
          <a:endParaRPr lang="en-US" sz="1050" b="0" baseline="0">
            <a:solidFill>
              <a:schemeClr val="dk1"/>
            </a:solidFill>
            <a:effectLst/>
            <a:latin typeface="Pero" panose="020F0506020203030304" pitchFamily="34"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baseline="0">
              <a:solidFill>
                <a:schemeClr val="dk1"/>
              </a:solidFill>
              <a:effectLst/>
              <a:latin typeface="Pero" panose="020F0506020203030304" pitchFamily="34" charset="0"/>
              <a:ea typeface="+mn-ea"/>
              <a:cs typeface="+mn-cs"/>
            </a:rPr>
            <a:t>Spillover effects:</a:t>
          </a:r>
          <a:r>
            <a:rPr lang="en-US" sz="1100" b="0" baseline="0">
              <a:solidFill>
                <a:schemeClr val="dk1"/>
              </a:solidFill>
              <a:effectLst/>
              <a:latin typeface="Pero" panose="020F0506020203030304" pitchFamily="34" charset="0"/>
              <a:ea typeface="+mn-ea"/>
              <a:cs typeface="+mn-cs"/>
            </a:rPr>
            <a:t> The program could lead to positive spillover effects among participating and non-participating households. Participating households may apply their BP knowledge to other crops. Non-participating households may learn about BPs through knowledge sharing and start applying BPs on their (coffee) plots. There is limited and mixed evidence on the direction and magnitude of spillover effects of agricultural extension programs. An RCT of an TNS agronomy training program among Rwandan coffee farmers finds no evidence of social diffusion of BP knoweldge; instead control households experienced negative spillovers, likely because of competition for scarce inputs, such as inorganic fertilizer and labor (Duflo et al., 2026). </a:t>
          </a:r>
        </a:p>
        <a:p>
          <a:pPr marL="0" marR="0" lvl="0" indent="0" defTabSz="914400" eaLnBrk="1" fontAlgn="auto" latinLnBrk="0" hangingPunct="1">
            <a:lnSpc>
              <a:spcPct val="100000"/>
            </a:lnSpc>
            <a:spcBef>
              <a:spcPts val="0"/>
            </a:spcBef>
            <a:spcAft>
              <a:spcPts val="0"/>
            </a:spcAft>
            <a:buClrTx/>
            <a:buSzTx/>
            <a:buFontTx/>
            <a:buNone/>
            <a:tabLst/>
            <a:defRPr/>
          </a:pPr>
          <a:r>
            <a:rPr lang="en-US" sz="1100" b="0" baseline="0">
              <a:solidFill>
                <a:schemeClr val="dk1"/>
              </a:solidFill>
              <a:effectLst/>
              <a:latin typeface="Pero" panose="020F0506020203030304" pitchFamily="34" charset="0"/>
              <a:ea typeface="+mn-ea"/>
              <a:cs typeface="+mn-cs"/>
            </a:rPr>
            <a:t>Input sales by OAF may also affect the offer and profits of agro-input dealers in the region. Yet, we do not have any evidence on potential effect sizes and magnitudes. Therefore, we do not consider (positive and/or negative) spillover effects in SROI calculation.</a:t>
          </a:r>
          <a:endParaRPr lang="en-US" sz="1050">
            <a:effectLst/>
            <a:latin typeface="Pero" panose="020F0506020203030304" pitchFamily="34" charset="0"/>
          </a:endParaRPr>
        </a:p>
        <a:p>
          <a:endParaRPr lang="en-US" sz="1050">
            <a:effectLst/>
            <a:latin typeface="Pero" panose="020F0506020203030304" pitchFamily="34" charset="0"/>
          </a:endParaRPr>
        </a:p>
      </xdr:txBody>
    </xdr:sp>
    <xdr:clientData/>
  </xdr:twoCellAnchor>
</xdr:wsDr>
</file>

<file path=xl/persons/person.xml><?xml version="1.0" encoding="utf-8"?>
<personList xmlns="http://schemas.microsoft.com/office/spreadsheetml/2018/threadedcomments" xmlns:x="http://schemas.openxmlformats.org/spreadsheetml/2006/main">
  <person displayName="Wiegel, Sarah" id="{40067C21-BBC2-4C2C-95BD-D475A557CE76}" userId="S::swiegel@herewegrow.org::750ddbee-ee52-4a41-b292-ae74334bd7d4" providerId="AD"/>
</personList>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27" dT="2026-07-01T08:24:53.30" personId="{40067C21-BBC2-4C2C-95BD-D475A557CE76}" id="{53175405-CCA0-4C26-A7EC-65AC43117AA9}">
    <text>0nly 5% coffee tree productivity increase</text>
  </threadedComment>
  <threadedComment ref="B28" dT="2026-07-01T08:26:54.76" personId="{40067C21-BBC2-4C2C-95BD-D475A557CE76}" id="{E7233C15-2837-4F9B-A222-D281C6DE7DE2}">
    <text>85% survival rate of timber and macadamia trees</text>
  </threadedComment>
</ThreadedComments>
</file>

<file path=xl/threadedComments/threadedComment2.xml><?xml version="1.0" encoding="utf-8"?>
<ThreadedComments xmlns="http://schemas.microsoft.com/office/spreadsheetml/2018/threadedcomments" xmlns:x="http://schemas.openxmlformats.org/spreadsheetml/2006/main">
  <threadedComment ref="C19" dT="2026-05-08T07:21:13.16" personId="{40067C21-BBC2-4C2C-95BD-D475A557CE76}" id="{81652B9D-14B3-4018-B59C-F72CB41E7CF1}">
    <text>OAF reports average of 454 productive coffee trees in OAF Uganda Coffee Impact Report 2025 Central Western</text>
  </threadedComment>
  <threadedComment ref="B23" dT="2025-11-11T15:38:17.72" personId="{40067C21-BBC2-4C2C-95BD-D475A557CE76}" id="{26BE43D1-8682-4234-A2EA-2C15870CBEB8}">
    <text>We assume that real costs per farmer stay constant.</text>
  </threadedComment>
  <threadedComment ref="C23" dT="2025-11-11T15:37:44.15" personId="{40067C21-BBC2-4C2C-95BD-D475A557CE76}" id="{E2F3577A-46D4-4EA2-812B-3CADD82FC49E}">
    <text>46 nominal 2025 UGX</text>
  </threadedComment>
  <threadedComment ref="C24" dT="2025-11-11T15:39:08.79" personId="{40067C21-BBC2-4C2C-95BD-D475A557CE76}" id="{894E6686-7BDE-4D98-860D-EC985C8F9499}">
    <text>97,400 nominal 2025 UGX</text>
  </threadedComment>
  <threadedComment ref="B27" dT="2026-04-10T12:32:01.47" personId="{40067C21-BBC2-4C2C-95BD-D475A557CE76}" id="{D480EA2A-BE2D-41A0-9E38-E732A848753E}">
    <text>Update from 2025 MEL framework</text>
  </threadedComment>
  <threadedComment ref="B30" dT="2026-02-05T16:44:32.48" personId="{40067C21-BBC2-4C2C-95BD-D475A557CE76}" id="{24C9CC42-022D-412F-970F-D08474423D78}">
    <text>We take the value from RTV baseline report because we do not have consumption data in OAF survey. This is from Kitagwenda and Rakai distrikt and may not apply for Kassanda/Mubende</text>
  </threadedComment>
  <threadedComment ref="B30" dT="2026-05-08T08:25:26.12" personId="{40067C21-BBC2-4C2C-95BD-D475A557CE76}" id="{4276741A-55AB-4328-A6A9-3A2E22585306}" parentId="{24C9CC42-022D-412F-970F-D08474423D78}">
    <text>In OAF baseline survey median total hh revenues amount to 5,625,000 UGX. However, this relies on a very crude survey question.</text>
  </threadedComment>
  <threadedComment ref="B38" dT="2025-11-11T10:39:29.13" personId="{40067C21-BBC2-4C2C-95BD-D475A557CE76}" id="{6678F55A-1619-4B46-B4E1-7A0C91C203CC}">
    <text>Assuming farmer plants 1 kg per season on 0.28 ha</text>
  </threadedComment>
  <threadedComment ref="C83" dT="2026-02-03T12:02:01.71" personId="{40067C21-BBC2-4C2C-95BD-D475A557CE76}" id="{F1DF29D0-4C02-4B3C-B603-42488B0DE80D}">
    <text>OAF assumes number of households=number of farmers*0.97</text>
  </threadedComment>
</ThreadedComments>
</file>

<file path=xl/threadedComments/threadedComment3.xml><?xml version="1.0" encoding="utf-8"?>
<ThreadedComments xmlns="http://schemas.microsoft.com/office/spreadsheetml/2018/threadedcomments" xmlns:x="http://schemas.openxmlformats.org/spreadsheetml/2006/main">
  <threadedComment ref="B1" dT="2025-11-06T09:39:36.84" personId="{40067C21-BBC2-4C2C-95BD-D475A557CE76}" id="{2AEC212E-EB46-4F43-A987-23B77CBDB0CE}">
    <text>Includes all households (adopters and non-adopters)</text>
  </threadedComment>
  <threadedComment ref="C5" dT="2026-02-05T12:17:16.83" personId="{40067C21-BBC2-4C2C-95BD-D475A557CE76}" id="{9732200F-EC82-45A3-BE72-2BBA2A6D3DE1}">
    <text xml:space="preserve">We assume a linear decay in the yield benefit of 7.5% p.a. setting in Yr 3 of coffee training start. </text>
  </threadedComment>
  <threadedComment ref="C7" dT="2025-11-06T10:16:33.36" personId="{40067C21-BBC2-4C2C-95BD-D475A557CE76}" id="{D7DF8DFE-80B6-4A42-A47E-0E3D631B72BC}">
    <text>Source: M&amp;E framework
We assume linear decay in fertilizer adoption of 7,3% annually after coffee agromy training program ends</text>
  </threadedComment>
  <threadedComment ref="C8" dT="2025-10-15T11:04:16.41" personId="{40067C21-BBC2-4C2C-95BD-D475A557CE76}" id="{52DA56EF-9D11-4F08-929F-8D07BED84017}">
    <text>We proxy incremental expenditure for coffee production by additional harvest costs and costs for inorganic fertilizer. As GAP adoption increase, we can assume that other production costs increase as well. OAF estimates that an OAF farmer ocurrs 4x the production costs of a non-OAF farmer (see OAF impact modelling).</text>
  </threadedComment>
  <threadedComment ref="C11" dT="2026-05-08T07:43:54.99" personId="{40067C21-BBC2-4C2C-95BD-D475A557CE76}" id="{B499B8A5-4EA8-4AF0-87B7-7EDC93A71CC5}">
    <text>Additional production costs of around 18,000 UGX (= 0.01 USD) per tree align closely with OAF production cost estimates.</text>
  </threadedComment>
  <threadedComment ref="B15" dT="2025-11-12T21:14:44.12" personId="{40067C21-BBC2-4C2C-95BD-D475A557CE76}" id="{5EAF7944-7D09-4F5A-B468-5DE44FE113B2}">
    <text>Starts in Yr2</text>
  </threadedComment>
  <threadedComment ref="B23" dT="2025-11-12T13:59:10.99" personId="{40067C21-BBC2-4C2C-95BD-D475A557CE76}" id="{C285C6CF-87E3-47CF-AA24-04B733BC7C3A}">
    <text>The Uganda Macadamia Impact Model includes foregone maize value due to substitution but the monetary amount is negligible (because of the very low number of (surviving) trees). Therefore, we do not consider it here.</text>
  </threadedComment>
  <threadedComment ref="C23" dT="2025-11-12T10:09:17.78" personId="{40067C21-BBC2-4C2C-95BD-D475A557CE76}" id="{390B602A-3544-4DE4-8ED6-B299E801F719}">
    <text>Yield assumptions from OAF Macadamia Impact Model</text>
  </threadedComment>
  <threadedComment ref="C26" dT="2026-02-03T09:19:48.82" personId="{40067C21-BBC2-4C2C-95BD-D475A557CE76}" id="{FF0E73DF-6705-41C2-8BCE-819C8D566A51}">
    <text>Acc to OAF Uganda Macadamia Impact Model</text>
  </threadedComment>
  <threadedComment ref="F28" dT="2025-11-12T13:40:24.14" personId="{40067C21-BBC2-4C2C-95BD-D475A557CE76}" id="{4B2ACDBE-AE46-4309-9EDA-24442D2190FC}">
    <text>Fertilizer + seedlings</text>
  </threadedComment>
  <threadedComment ref="G28" dT="2025-11-12T13:46:13.80" personId="{40067C21-BBC2-4C2C-95BD-D475A557CE76}" id="{469EF366-F24C-4506-AED2-5C77C1CEF630}">
    <text>Pesticide+fertilizer</text>
  </threadedComment>
  <threadedComment ref="M28" dT="2025-11-12T13:46:26.93" personId="{40067C21-BBC2-4C2C-95BD-D475A557CE76}" id="{293CFE2C-ED93-46D8-BA1A-AF3C365CDC91}">
    <text>Fertilizer only. Pesticides only used in year 2-7; later tree becomes too tall to spray</text>
  </threadedComment>
  <threadedComment ref="C33" dT="2026-02-10T14:04:50.91" personId="{40067C21-BBC2-4C2C-95BD-D475A557CE76}" id="{E427B798-158D-4919-8E84-0729549D6CF6}">
    <text xml:space="preserve">40 tree seedlings are distributed in Year 2 and 3 each. </text>
  </threadedComment>
  <threadedComment ref="C34" dT="2026-02-03T09:18:56.13" personId="{40067C21-BBC2-4C2C-95BD-D475A557CE76}" id="{AE06D625-B9A1-47B6-8550-9C9CB6266097}">
    <text>Acc to OAF Uganda Tree NPV Model</text>
  </threadedComment>
  <threadedComment ref="C38" dT="2025-12-10T14:28:03.28" personId="{40067C21-BBC2-4C2C-95BD-D475A557CE76}" id="{52D14CFD-4F2C-4E0E-ACA6-766D19F6CE91}">
    <text>Acc to OAF Uganda Tree NPV Model maintenance costs are $0.40 Yr1-Yr7 and $0.17 afterwards. We use the same currency excange rate of 3400 UGY=1 USD</text>
  </threadedComment>
  <threadedComment ref="C53" dT="2026-04-10T11:32:07.68" personId="{40067C21-BBC2-4C2C-95BD-D475A557CE76}" id="{D9D7BBA3-A26D-48C2-89DE-158667918A87}">
    <text xml:space="preserve">We assume a linear decay in the yield benefit of 7.5% p.a. setting in Yr 3 of coffee training start. </text>
  </threadedComment>
  <threadedComment ref="C55" dT="2025-11-06T10:16:33.36" personId="{40067C21-BBC2-4C2C-95BD-D475A557CE76}" id="{EBDDF246-17C5-4A55-873A-DD48CFB3ACB9}">
    <text>Source: OAF GAP Implementation Check Report Q3 2025
We assume linear decay in fertilizer adoption of 7,3% annually after coffee agromy training program ends</text>
  </threadedComment>
  <threadedComment ref="C56" dT="2025-10-15T11:04:16.41" personId="{40067C21-BBC2-4C2C-95BD-D475A557CE76}" id="{CFEE743A-D343-4F6E-88C8-8BDD51623D83}">
    <text>We proxy incremental expenditure for coffee production by additional harvest costs and costs for inorganic fertilizer. As GAP adoption increase, we can assume that other production costs increase as well. OAF estimates that an OAF farmer ocurrs 4x the production costs of a non-OAF farmer (see OAF impact modelling).</text>
  </threadedComment>
  <threadedComment ref="B71" dT="2025-11-12T13:59:10.99" personId="{40067C21-BBC2-4C2C-95BD-D475A557CE76}" id="{C349C28C-2E9C-4F67-ABDD-E37696959D44}">
    <text>The Uganda Macadamia Impact Model includes foregone maize value due to substitution but the monetary amount is negligible (because of the very low number of (surviving) trees). Therefore, we do not consider it here.</text>
  </threadedComment>
  <threadedComment ref="C71" dT="2025-11-12T10:09:17.78" personId="{40067C21-BBC2-4C2C-95BD-D475A557CE76}" id="{7DF3FD66-0092-48F3-82A2-AA448AA24345}">
    <text>Yield assumptions from OAF Macadamia Impact Model</text>
  </threadedComment>
  <threadedComment ref="E76" dT="2025-11-12T13:40:24.14" personId="{40067C21-BBC2-4C2C-95BD-D475A557CE76}" id="{D8A9F5EA-42F8-4E99-BF9B-5254B5DF5D31}">
    <text>Fertilizer + seedlings</text>
  </threadedComment>
  <threadedComment ref="F76" dT="2025-11-12T13:46:13.80" personId="{40067C21-BBC2-4C2C-95BD-D475A557CE76}" id="{F8579D53-C517-4426-A0E9-AE61F70250E1}">
    <text>Pesticide+fertilizer</text>
  </threadedComment>
  <threadedComment ref="L76" dT="2025-11-12T13:46:26.93" personId="{40067C21-BBC2-4C2C-95BD-D475A557CE76}" id="{198A7A84-688B-4018-85F5-C27CDEF84F91}">
    <text>Fertilizer only</text>
  </threadedComment>
  <threadedComment ref="C81" dT="2026-05-08T11:02:27.82" personId="{40067C21-BBC2-4C2C-95BD-D475A557CE76}" id="{5A065A09-913A-483F-8D2A-6F266D520FC4}">
    <text xml:space="preserve">In the HWG program, trees are only introduced in Buikwe in Yr 3 of the program. </text>
  </threadedComment>
  <threadedComment ref="B98" dT="2025-11-06T09:39:36.84" personId="{40067C21-BBC2-4C2C-95BD-D475A557CE76}" id="{63FEB16C-3CD1-403D-875B-515A8F5BA7EC}">
    <text>We assume 1 farmer=0.97 households</text>
  </threadedComment>
  <threadedComment ref="H106" dT="2026-02-06T10:09:19.65" personId="{40067C21-BBC2-4C2C-95BD-D475A557CE76}" id="{AD5D65A8-F2BC-424F-830B-26890A1DAF0F}">
    <text>After 3 years, we do not account for further drop-out because full impact materializes after 3 year of program participation.</text>
  </threadedComment>
  <threadedComment ref="H137" dT="2026-02-05T13:53:48.29" personId="{40067C21-BBC2-4C2C-95BD-D475A557CE76}" id="{2F2BCBA1-D6D5-4D0F-AB4A-6CF529F111EA}">
    <text>OAF doesn‘t have a fixed program duration (as they stay in the project region and continue offering their services). We assume 3 years here because we measure program benefits 3 years after project start in the evaluation</text>
  </threadedComment>
  <threadedComment ref="B139" dT="2026-07-08T09:17:49.13" personId="{40067C21-BBC2-4C2C-95BD-D475A557CE76}" id="{38A674C7-777A-4280-BEC8-553876AFE055}">
    <text>We substract indirect cost share from project budget. We assume indirect costs do not reflect marginal costs to replicate or expand project.</text>
  </threadedComment>
  <threadedComment ref="D139" dT="2025-12-10T13:02:56.06" personId="{40067C21-BBC2-4C2C-95BD-D475A557CE76}" id="{8372606C-87A4-4010-823D-B908E3E154BD}">
    <text>Deduct EUR 5,710 from 2024 budget because OAF would have scouted fewer sites/districts without the evaluation.</text>
  </threadedComment>
  <threadedComment ref="E139" dT="2025-12-10T13:04:33.93" personId="{40067C21-BBC2-4C2C-95BD-D475A557CE76}" id="{0EF90D2A-8EC2-4E38-82E5-92B14278831F}">
    <text>Deduct EUR 137,508 for OAF yield study in control sites and increased operational expenses due to simultaneous rollout in 2 districts in Yr 1</text>
  </threadedComment>
  <threadedComment ref="F139" dT="2025-12-10T13:05:24.69" personId="{40067C21-BBC2-4C2C-95BD-D475A557CE76}" id="{D74C65EF-CA6B-463B-884A-1F77C5D6E95E}">
    <text>Deduct EUR 68,477 for OAF yield study in control sites</text>
  </threadedComment>
  <threadedComment ref="G139" dT="2025-12-10T13:05:57.69" personId="{40067C21-BBC2-4C2C-95BD-D475A557CE76}" id="{F5C04338-F946-4FE0-B8FA-5E79A1F2EAE4}">
    <text>Deduct EUR 24,980  for OAF yield study in control sites. Added 148,521 EUR in OAF co-funding</text>
  </threadedComment>
</ThreadedComments>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438" row="5">
    <wetp:webextensionref xmlns:r="http://schemas.openxmlformats.org/officeDocument/2006/relationships" r:id="rId1"/>
  </wetp:taskpane>
</wetp:taskpanes>
</file>

<file path=xl/webextensions/webextension1.xml><?xml version="1.0" encoding="utf-8"?>
<we:webextension xmlns:we="http://schemas.microsoft.com/office/webextensions/webextension/2010/11" id="{F7C999AC-20C4-4D5B-A14F-DD1B37A5C611}">
  <we:reference id="WA200010725" version="1.0.0.1" store="Omex" storeType="OMEX"/>
  <we:alternateReferences>
    <we:reference id="WA200010725" version="1.0.0.1" store="WA200010725" storeType="OMEX"/>
  </we:alternateReferences>
  <we:properties>
    <we:property name="claude.fileId" value="&quot;43609cbf-9624-4cbc-a698-0f5e96322710&quot;"/>
  </we:properties>
  <we:bindings/>
  <we:snapshot xmlns:r="http://schemas.openxmlformats.org/officeDocument/2006/relationships"/>
  <we:extLst>
    <a:ext xmlns:a="http://schemas.openxmlformats.org/drawingml/2006/main" uri="{D87F86FE-615C-45B5-9D79-34F1136793EB}">
      <we:containsCustomFunctions/>
    </a:ext>
  </we:extLst>
</we:webextension>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7" Type="http://schemas.microsoft.com/office/2017/10/relationships/threadedComment" Target="../threadedComments/threadedComment1.xml"/><Relationship Id="rId2" Type="http://schemas.openxmlformats.org/officeDocument/2006/relationships/hyperlink" Target="https://www.laterite.com/" TargetMode="External"/><Relationship Id="rId1" Type="http://schemas.openxmlformats.org/officeDocument/2006/relationships/hyperlink" Target="https://oneacrefund.org/"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hyperlink" Target="https://www.technoserve.org/wp-content/uploads/2017/04/triple-line-evaluation-of-the-coffee-initiative.pdf" TargetMode="External"/><Relationship Id="rId3" Type="http://schemas.openxmlformats.org/officeDocument/2006/relationships/hyperlink" Target="https://www.herewegrow.org/wp-content/uploads/2026/06/HereWeGrow_Laterite_OneAcreFund_Baseline-Report_2026.pdf" TargetMode="External"/><Relationship Id="rId7" Type="http://schemas.openxmlformats.org/officeDocument/2006/relationships/hyperlink" Target="https://data.worldbank.org/indicator/PA.NUS.PPP?locations=UG&amp;year=2008" TargetMode="External"/><Relationship Id="rId12" Type="http://schemas.microsoft.com/office/2017/10/relationships/threadedComment" Target="../threadedComments/threadedComment2.xml"/><Relationship Id="rId2" Type="http://schemas.openxmlformats.org/officeDocument/2006/relationships/hyperlink" Target="../../../../../../../../:u:/s/herewegrow.org/EcPvj0jmFfZHllQhbAPYrB4BfblQ7k-cteD4AvGkuUfXsw?e=tQMpIi" TargetMode="External"/><Relationship Id="rId1" Type="http://schemas.openxmlformats.org/officeDocument/2006/relationships/hyperlink" Target="https://data.imf.org/en/Data-Explorer?datasetUrn=IMF.RES:WEO(9.0.0)&amp;INDICATOR=NGDP_D&amp;COUNTRY=DEU,UGA" TargetMode="External"/><Relationship Id="rId6" Type="http://schemas.openxmlformats.org/officeDocument/2006/relationships/hyperlink" Target="https://www.exchange-rates.org/exchange-rate-history/ugx-usd-2024" TargetMode="External"/><Relationship Id="rId11" Type="http://schemas.openxmlformats.org/officeDocument/2006/relationships/comments" Target="../comments2.xml"/><Relationship Id="rId5" Type="http://schemas.openxmlformats.org/officeDocument/2006/relationships/hyperlink" Target="https://www.exchange-rates.org/exchange-rate-history/ugx-eur-2021" TargetMode="External"/><Relationship Id="rId10" Type="http://schemas.openxmlformats.org/officeDocument/2006/relationships/vmlDrawing" Target="../drawings/vmlDrawing2.vml"/><Relationship Id="rId4" Type="http://schemas.openxmlformats.org/officeDocument/2006/relationships/hyperlink" Target="https://www.herewegrow.org/wp-content/uploads/2026/06/HereWeGrow_Laterite_OneAcreFund_Baseline-Report_2026.pdf" TargetMode="External"/><Relationship Id="rId9"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 Id="rId4" Type="http://schemas.microsoft.com/office/2017/10/relationships/threadedComment" Target="../threadedComments/threadedComment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16F16-6275-4823-BE92-E48E7D0D0703}">
  <dimension ref="A1:N82"/>
  <sheetViews>
    <sheetView showGridLines="0" tabSelected="1" topLeftCell="A18" zoomScaleNormal="100" workbookViewId="0">
      <selection activeCell="N14" sqref="N14"/>
    </sheetView>
  </sheetViews>
  <sheetFormatPr baseColWidth="10" defaultColWidth="8.5703125" defaultRowHeight="15" x14ac:dyDescent="0.25"/>
  <cols>
    <col min="1" max="1" width="4.42578125" style="8" customWidth="1"/>
    <col min="2" max="2" width="29.5703125" style="8" customWidth="1"/>
    <col min="3" max="3" width="58" style="47" customWidth="1"/>
    <col min="4" max="4" width="16.140625" customWidth="1"/>
    <col min="5" max="5" width="6.85546875" customWidth="1"/>
    <col min="6" max="7" width="19.5703125" customWidth="1"/>
    <col min="12" max="12" width="4.5703125" customWidth="1"/>
  </cols>
  <sheetData>
    <row r="1" spans="1:12" x14ac:dyDescent="0.25">
      <c r="A1" s="17"/>
      <c r="B1" s="18"/>
      <c r="C1" s="19"/>
      <c r="D1" s="20"/>
      <c r="E1" s="20"/>
      <c r="F1" s="20"/>
      <c r="G1" s="20"/>
      <c r="H1" s="20"/>
      <c r="I1" s="20"/>
      <c r="J1" s="20"/>
      <c r="K1" s="20"/>
      <c r="L1" s="21"/>
    </row>
    <row r="2" spans="1:12" ht="51" customHeight="1" x14ac:dyDescent="0.3">
      <c r="A2" s="22"/>
      <c r="B2" s="23" t="s">
        <v>0</v>
      </c>
      <c r="C2" s="356" t="s">
        <v>1</v>
      </c>
      <c r="D2" s="356"/>
      <c r="E2" s="24"/>
      <c r="F2" s="24"/>
      <c r="G2" s="24"/>
      <c r="H2" s="24"/>
      <c r="I2" s="24"/>
      <c r="J2" s="24"/>
      <c r="K2" s="24"/>
      <c r="L2" s="25"/>
    </row>
    <row r="3" spans="1:12" x14ac:dyDescent="0.25">
      <c r="A3" s="26"/>
      <c r="B3" s="27"/>
      <c r="C3" s="28"/>
      <c r="D3" s="24"/>
      <c r="E3" s="24"/>
      <c r="F3" s="24"/>
      <c r="G3" s="24"/>
      <c r="H3" s="24"/>
      <c r="I3" s="24"/>
      <c r="J3" s="24"/>
      <c r="K3" s="24"/>
      <c r="L3" s="25"/>
    </row>
    <row r="4" spans="1:12" ht="18.75" x14ac:dyDescent="0.3">
      <c r="A4" s="29"/>
      <c r="B4" s="30" t="s">
        <v>2</v>
      </c>
      <c r="C4" s="31"/>
      <c r="D4" s="6"/>
      <c r="E4" s="223"/>
      <c r="F4" s="223"/>
      <c r="G4" s="223"/>
      <c r="H4" s="223"/>
      <c r="I4" s="32"/>
      <c r="J4" s="32"/>
      <c r="K4" s="32"/>
      <c r="L4" s="33"/>
    </row>
    <row r="5" spans="1:12" ht="18.75" x14ac:dyDescent="0.3">
      <c r="A5" s="224"/>
      <c r="B5" s="34"/>
      <c r="C5" s="35"/>
      <c r="D5" s="36"/>
      <c r="E5" s="225"/>
      <c r="F5" s="225"/>
      <c r="G5" s="225"/>
      <c r="H5" s="225"/>
      <c r="I5" s="24"/>
      <c r="J5" s="24"/>
      <c r="K5" s="24"/>
      <c r="L5" s="25"/>
    </row>
    <row r="6" spans="1:12" ht="33.75" customHeight="1" x14ac:dyDescent="0.3">
      <c r="A6" s="224"/>
      <c r="B6" s="37" t="s">
        <v>3</v>
      </c>
      <c r="C6" s="226" t="s">
        <v>1</v>
      </c>
      <c r="D6" s="38"/>
      <c r="E6" s="225"/>
      <c r="F6" s="225"/>
      <c r="G6" s="225"/>
      <c r="H6" s="225"/>
      <c r="I6" s="24"/>
      <c r="J6" s="24"/>
      <c r="K6" s="24"/>
      <c r="L6" s="25"/>
    </row>
    <row r="7" spans="1:12" x14ac:dyDescent="0.25">
      <c r="A7" s="224"/>
      <c r="B7" s="39" t="s">
        <v>4</v>
      </c>
      <c r="C7" s="219" t="s">
        <v>5</v>
      </c>
      <c r="D7" s="227"/>
      <c r="E7" s="225"/>
      <c r="F7" s="225"/>
      <c r="G7" s="225"/>
      <c r="H7" s="225"/>
      <c r="I7" s="24"/>
      <c r="J7" s="24"/>
      <c r="K7" s="24"/>
      <c r="L7" s="25"/>
    </row>
    <row r="8" spans="1:12" x14ac:dyDescent="0.25">
      <c r="A8" s="224"/>
      <c r="B8" s="39" t="s">
        <v>6</v>
      </c>
      <c r="C8" s="220" t="s">
        <v>7</v>
      </c>
      <c r="D8" s="40"/>
      <c r="E8" s="225"/>
      <c r="F8" s="225"/>
      <c r="G8" s="225"/>
      <c r="H8" s="225"/>
      <c r="I8" s="24"/>
      <c r="J8" s="24"/>
      <c r="K8" s="24"/>
      <c r="L8" s="25"/>
    </row>
    <row r="9" spans="1:12" x14ac:dyDescent="0.25">
      <c r="A9" s="224"/>
      <c r="B9" s="39" t="s">
        <v>8</v>
      </c>
      <c r="C9" s="226" t="s">
        <v>9</v>
      </c>
      <c r="D9" s="227"/>
      <c r="E9" s="225"/>
      <c r="F9" s="225"/>
      <c r="G9" s="225"/>
      <c r="H9" s="225"/>
      <c r="I9" s="24"/>
      <c r="J9" s="24"/>
      <c r="K9" s="24"/>
      <c r="L9" s="25"/>
    </row>
    <row r="10" spans="1:12" x14ac:dyDescent="0.25">
      <c r="A10" s="224"/>
      <c r="B10" s="39" t="s">
        <v>10</v>
      </c>
      <c r="C10" s="226" t="s">
        <v>11</v>
      </c>
      <c r="D10" s="227"/>
      <c r="E10" s="225"/>
      <c r="F10" s="225"/>
      <c r="G10" s="225"/>
      <c r="H10" s="225"/>
      <c r="I10" s="24"/>
      <c r="J10" s="24"/>
      <c r="K10" s="24"/>
      <c r="L10" s="25"/>
    </row>
    <row r="11" spans="1:12" x14ac:dyDescent="0.25">
      <c r="A11" s="224"/>
      <c r="B11" s="39" t="s">
        <v>12</v>
      </c>
      <c r="C11" s="228" t="s">
        <v>13</v>
      </c>
      <c r="D11" s="227"/>
      <c r="E11" s="225"/>
      <c r="F11" s="225"/>
      <c r="G11" s="225"/>
      <c r="H11" s="225"/>
      <c r="I11" s="24"/>
      <c r="J11" s="24"/>
      <c r="K11" s="24"/>
      <c r="L11" s="25"/>
    </row>
    <row r="12" spans="1:12" ht="30" customHeight="1" x14ac:dyDescent="0.25">
      <c r="A12" s="224"/>
      <c r="B12" s="39" t="s">
        <v>14</v>
      </c>
      <c r="C12" s="229" t="s">
        <v>15</v>
      </c>
      <c r="D12" s="227"/>
      <c r="E12" s="225"/>
      <c r="F12" s="225"/>
      <c r="G12" s="225"/>
      <c r="H12" s="225"/>
      <c r="I12" s="24"/>
      <c r="J12" s="24"/>
      <c r="K12" s="24"/>
      <c r="L12" s="25"/>
    </row>
    <row r="13" spans="1:12" x14ac:dyDescent="0.25">
      <c r="A13" s="224"/>
      <c r="B13" s="39" t="s">
        <v>16</v>
      </c>
      <c r="C13" s="230">
        <v>3196115</v>
      </c>
      <c r="D13" s="70"/>
      <c r="E13" s="225"/>
      <c r="F13" s="225"/>
      <c r="G13" s="225"/>
      <c r="H13" s="225"/>
      <c r="I13" s="24"/>
      <c r="J13" s="24"/>
      <c r="K13" s="24"/>
      <c r="L13" s="25"/>
    </row>
    <row r="14" spans="1:12" x14ac:dyDescent="0.25">
      <c r="A14" s="224"/>
      <c r="B14" s="39" t="s">
        <v>17</v>
      </c>
      <c r="C14" s="231">
        <f>34000*0.97</f>
        <v>32980</v>
      </c>
      <c r="D14" s="227" t="s">
        <v>18</v>
      </c>
      <c r="E14" s="225"/>
      <c r="F14" s="225"/>
      <c r="G14" s="225"/>
      <c r="H14" s="225"/>
      <c r="I14" s="24"/>
      <c r="J14" s="24"/>
      <c r="K14" s="24"/>
      <c r="L14" s="25"/>
    </row>
    <row r="15" spans="1:12" x14ac:dyDescent="0.25">
      <c r="A15" s="224"/>
      <c r="B15" s="39" t="s">
        <v>19</v>
      </c>
      <c r="C15" s="232" t="s">
        <v>20</v>
      </c>
      <c r="D15" s="227"/>
      <c r="E15" s="225"/>
      <c r="F15" s="225"/>
      <c r="G15" s="225"/>
      <c r="H15" s="225"/>
      <c r="I15" s="24"/>
      <c r="J15" s="24"/>
      <c r="K15" s="24"/>
      <c r="L15" s="25"/>
    </row>
    <row r="16" spans="1:12" x14ac:dyDescent="0.25">
      <c r="A16" s="224"/>
      <c r="B16" s="39" t="s">
        <v>21</v>
      </c>
      <c r="C16" s="232" t="s">
        <v>22</v>
      </c>
      <c r="D16" s="227"/>
      <c r="E16" s="225"/>
      <c r="F16" s="225"/>
      <c r="G16" s="225"/>
      <c r="H16" s="225"/>
      <c r="I16" s="24"/>
      <c r="J16" s="24"/>
      <c r="K16" s="24"/>
      <c r="L16" s="25"/>
    </row>
    <row r="17" spans="1:12" x14ac:dyDescent="0.25">
      <c r="A17" s="224"/>
      <c r="B17" s="41"/>
      <c r="C17" s="233"/>
      <c r="D17" s="225"/>
      <c r="E17" s="225"/>
      <c r="F17" s="225"/>
      <c r="G17" s="225"/>
      <c r="H17" s="225"/>
      <c r="I17" s="24"/>
      <c r="J17" s="24"/>
      <c r="K17" s="24"/>
      <c r="L17" s="25"/>
    </row>
    <row r="18" spans="1:12" ht="60" customHeight="1" x14ac:dyDescent="0.25">
      <c r="A18" s="224"/>
      <c r="B18" s="41"/>
      <c r="C18" s="234"/>
      <c r="D18" s="225"/>
      <c r="E18" s="225"/>
      <c r="F18" s="225"/>
      <c r="G18" s="225"/>
      <c r="H18" s="225"/>
      <c r="I18" s="24"/>
      <c r="J18" s="24"/>
      <c r="K18" s="24"/>
      <c r="L18" s="25"/>
    </row>
    <row r="19" spans="1:12" ht="18.75" x14ac:dyDescent="0.3">
      <c r="A19" s="29"/>
      <c r="B19" s="30" t="s">
        <v>23</v>
      </c>
      <c r="C19" s="31"/>
      <c r="D19" s="6"/>
      <c r="E19" s="6"/>
      <c r="F19" s="6"/>
      <c r="G19" s="6"/>
      <c r="H19" s="6"/>
      <c r="I19" s="6"/>
      <c r="J19" s="6"/>
      <c r="K19" s="6"/>
      <c r="L19" s="42"/>
    </row>
    <row r="20" spans="1:12" ht="18.75" x14ac:dyDescent="0.3">
      <c r="A20" s="43"/>
      <c r="B20" s="34"/>
      <c r="C20" s="35"/>
      <c r="D20" s="36"/>
      <c r="E20" s="225"/>
      <c r="F20" s="225"/>
      <c r="G20" s="225"/>
      <c r="H20" s="225"/>
      <c r="I20" s="24"/>
      <c r="J20" s="24"/>
      <c r="K20" s="24"/>
      <c r="L20" s="25"/>
    </row>
    <row r="21" spans="1:12" ht="18.75" x14ac:dyDescent="0.3">
      <c r="A21" s="44"/>
      <c r="B21" s="45" t="s">
        <v>24</v>
      </c>
      <c r="C21" s="93">
        <f>SROI!C161</f>
        <v>8.1689238141235521</v>
      </c>
      <c r="D21" s="24"/>
      <c r="E21" s="225"/>
      <c r="F21" s="225"/>
      <c r="G21" s="225"/>
      <c r="H21" s="225"/>
      <c r="I21" s="24"/>
      <c r="J21" s="24"/>
      <c r="K21" s="24"/>
      <c r="L21" s="25"/>
    </row>
    <row r="22" spans="1:12" x14ac:dyDescent="0.25">
      <c r="A22" s="46"/>
      <c r="B22" s="39" t="s">
        <v>25</v>
      </c>
      <c r="C22" s="226" t="s">
        <v>26</v>
      </c>
      <c r="D22" s="225"/>
      <c r="E22" s="225"/>
      <c r="F22" s="225"/>
      <c r="G22" s="225"/>
      <c r="H22" s="225"/>
      <c r="I22" s="24"/>
      <c r="J22" s="24"/>
      <c r="K22" s="24"/>
      <c r="L22" s="25"/>
    </row>
    <row r="23" spans="1:12" x14ac:dyDescent="0.25">
      <c r="A23" s="46"/>
      <c r="B23" s="39" t="s">
        <v>27</v>
      </c>
      <c r="C23" s="226" t="s">
        <v>28</v>
      </c>
      <c r="D23" s="24"/>
      <c r="E23" s="225"/>
      <c r="F23" s="225"/>
      <c r="G23" s="225"/>
      <c r="H23" s="225"/>
      <c r="I23" s="24"/>
      <c r="J23" s="24"/>
      <c r="K23" s="24"/>
      <c r="L23" s="25"/>
    </row>
    <row r="24" spans="1:12" x14ac:dyDescent="0.25">
      <c r="A24" s="46"/>
      <c r="B24" s="39" t="s">
        <v>29</v>
      </c>
      <c r="C24" s="226" t="s">
        <v>30</v>
      </c>
      <c r="D24" s="24"/>
      <c r="E24" s="225"/>
      <c r="F24" s="225"/>
      <c r="G24" s="225"/>
      <c r="H24" s="225"/>
      <c r="I24" s="24"/>
      <c r="J24" s="24"/>
      <c r="K24" s="24"/>
      <c r="L24" s="25"/>
    </row>
    <row r="25" spans="1:12" x14ac:dyDescent="0.25">
      <c r="A25" s="46"/>
      <c r="D25" s="24"/>
      <c r="E25" s="24"/>
      <c r="F25" s="24"/>
      <c r="G25" s="24"/>
      <c r="H25" s="24"/>
      <c r="I25" s="24"/>
      <c r="J25" s="24"/>
      <c r="K25" s="24"/>
      <c r="L25" s="25"/>
    </row>
    <row r="26" spans="1:12" ht="40.5" x14ac:dyDescent="0.25">
      <c r="A26" s="46"/>
      <c r="B26" s="221" t="s">
        <v>31</v>
      </c>
      <c r="C26" s="235" t="s">
        <v>32</v>
      </c>
      <c r="D26" s="24"/>
      <c r="E26" s="24"/>
      <c r="F26" s="24"/>
      <c r="G26" s="24"/>
      <c r="H26" s="24"/>
      <c r="I26" s="24"/>
      <c r="J26" s="24"/>
      <c r="K26" s="24"/>
      <c r="L26" s="25"/>
    </row>
    <row r="27" spans="1:12" x14ac:dyDescent="0.25">
      <c r="A27" s="46"/>
      <c r="B27" s="222" t="s">
        <v>33</v>
      </c>
      <c r="C27" s="236">
        <f>'Sensitivity analysis'!G35</f>
        <v>4.2159565208842587</v>
      </c>
      <c r="D27" s="24"/>
      <c r="E27" s="24"/>
      <c r="F27" s="24"/>
      <c r="G27" s="24"/>
      <c r="H27" s="24"/>
      <c r="I27" s="24"/>
      <c r="J27" s="24"/>
      <c r="K27" s="24"/>
      <c r="L27" s="25"/>
    </row>
    <row r="28" spans="1:12" x14ac:dyDescent="0.25">
      <c r="A28" s="46"/>
      <c r="B28" s="222" t="s">
        <v>34</v>
      </c>
      <c r="C28" s="236">
        <f>'Sensitivity analysis'!J59</f>
        <v>11.599519659213311</v>
      </c>
      <c r="D28" s="24"/>
      <c r="E28" s="24"/>
      <c r="F28" s="24"/>
      <c r="G28" s="24"/>
      <c r="H28" s="24"/>
      <c r="I28" s="24"/>
      <c r="J28" s="24"/>
      <c r="K28" s="24"/>
      <c r="L28" s="25"/>
    </row>
    <row r="29" spans="1:12" ht="15" customHeight="1" x14ac:dyDescent="0.3">
      <c r="A29" s="43"/>
      <c r="B29" s="34"/>
      <c r="C29" s="35"/>
      <c r="D29" s="36"/>
      <c r="E29" s="225"/>
      <c r="F29" s="225"/>
      <c r="G29" s="225"/>
      <c r="H29" s="225"/>
      <c r="I29" s="24"/>
      <c r="J29" s="24"/>
      <c r="K29" s="24"/>
      <c r="L29" s="25"/>
    </row>
    <row r="30" spans="1:12" ht="18.75" x14ac:dyDescent="0.3">
      <c r="A30" s="29"/>
      <c r="B30" s="30" t="s">
        <v>35</v>
      </c>
      <c r="C30" s="31"/>
      <c r="D30" s="6"/>
      <c r="E30" s="223"/>
      <c r="F30" s="223"/>
      <c r="G30" s="223"/>
      <c r="H30" s="223"/>
      <c r="I30" s="32"/>
      <c r="J30" s="32"/>
      <c r="K30" s="32"/>
      <c r="L30" s="33"/>
    </row>
    <row r="31" spans="1:12" ht="18.75" x14ac:dyDescent="0.3">
      <c r="A31" s="43"/>
      <c r="B31" s="34"/>
      <c r="C31" s="35"/>
      <c r="D31" s="36"/>
      <c r="E31" s="225"/>
      <c r="F31" s="225"/>
      <c r="G31" s="225"/>
      <c r="H31" s="225"/>
      <c r="I31" s="24"/>
      <c r="J31" s="24"/>
      <c r="K31" s="24"/>
      <c r="L31" s="25"/>
    </row>
    <row r="32" spans="1:12" x14ac:dyDescent="0.25">
      <c r="A32" s="46"/>
      <c r="B32" s="39" t="s">
        <v>36</v>
      </c>
      <c r="C32" s="226" t="s">
        <v>37</v>
      </c>
      <c r="D32" s="225"/>
      <c r="E32" s="225"/>
      <c r="F32" s="225"/>
      <c r="G32" s="225"/>
      <c r="H32" s="225"/>
      <c r="I32" s="24"/>
      <c r="J32" s="24"/>
      <c r="K32" s="24"/>
      <c r="L32" s="25"/>
    </row>
    <row r="33" spans="1:12" x14ac:dyDescent="0.25">
      <c r="A33" s="46"/>
      <c r="B33" s="39" t="s">
        <v>38</v>
      </c>
      <c r="C33" s="226" t="s">
        <v>39</v>
      </c>
      <c r="D33" s="225"/>
      <c r="E33" s="225"/>
      <c r="F33" s="225"/>
      <c r="G33" s="225"/>
      <c r="H33" s="225"/>
      <c r="I33" s="24"/>
      <c r="J33" s="24"/>
      <c r="K33" s="24"/>
      <c r="L33" s="25"/>
    </row>
    <row r="34" spans="1:12" ht="30" x14ac:dyDescent="0.25">
      <c r="A34" s="46"/>
      <c r="B34" s="39" t="s">
        <v>40</v>
      </c>
      <c r="C34" s="226" t="s">
        <v>41</v>
      </c>
      <c r="D34" s="225"/>
      <c r="E34" s="225"/>
      <c r="F34" s="225"/>
      <c r="G34" s="225"/>
      <c r="H34" s="225"/>
      <c r="I34" s="24"/>
      <c r="J34" s="24"/>
      <c r="K34" s="24"/>
      <c r="L34" s="25"/>
    </row>
    <row r="35" spans="1:12" x14ac:dyDescent="0.25">
      <c r="A35" s="46"/>
      <c r="B35" s="39" t="s">
        <v>42</v>
      </c>
      <c r="C35" s="226" t="s">
        <v>43</v>
      </c>
      <c r="D35" s="225"/>
      <c r="E35" s="225"/>
      <c r="F35" s="225"/>
      <c r="G35" s="225"/>
      <c r="H35" s="225"/>
      <c r="I35" s="24"/>
      <c r="J35" s="24"/>
      <c r="K35" s="24"/>
      <c r="L35" s="25"/>
    </row>
    <row r="36" spans="1:12" ht="30" customHeight="1" x14ac:dyDescent="0.25">
      <c r="A36" s="46"/>
      <c r="B36" s="39" t="s">
        <v>44</v>
      </c>
      <c r="C36" s="226" t="s">
        <v>45</v>
      </c>
      <c r="D36" s="225"/>
      <c r="E36" s="225"/>
      <c r="F36" s="225"/>
      <c r="G36" s="225"/>
      <c r="H36" s="225"/>
      <c r="I36" s="24"/>
      <c r="J36" s="24"/>
      <c r="K36" s="24"/>
      <c r="L36" s="25"/>
    </row>
    <row r="37" spans="1:12" x14ac:dyDescent="0.25">
      <c r="A37" s="46"/>
      <c r="B37" s="39" t="s">
        <v>46</v>
      </c>
      <c r="C37" s="226" t="s">
        <v>47</v>
      </c>
      <c r="D37" s="225"/>
      <c r="E37" s="225"/>
      <c r="F37" s="225"/>
      <c r="G37" s="225"/>
      <c r="H37" s="225"/>
      <c r="I37" s="24"/>
      <c r="J37" s="24"/>
      <c r="K37" s="24"/>
      <c r="L37" s="25"/>
    </row>
    <row r="38" spans="1:12" x14ac:dyDescent="0.25">
      <c r="A38" s="237"/>
      <c r="B38" s="238"/>
      <c r="C38" s="234"/>
      <c r="D38" s="225"/>
      <c r="E38" s="225"/>
      <c r="F38" s="225"/>
      <c r="G38" s="225"/>
      <c r="H38" s="225"/>
      <c r="I38" s="24"/>
      <c r="J38" s="24"/>
      <c r="K38" s="24"/>
      <c r="L38" s="25"/>
    </row>
    <row r="39" spans="1:12" ht="18.75" x14ac:dyDescent="0.3">
      <c r="A39" s="29"/>
      <c r="B39" s="30" t="s">
        <v>48</v>
      </c>
      <c r="C39" s="31"/>
      <c r="D39" s="6"/>
      <c r="E39" s="223"/>
      <c r="F39" s="223"/>
      <c r="G39" s="223"/>
      <c r="H39" s="223"/>
      <c r="I39" s="32"/>
      <c r="J39" s="32"/>
      <c r="K39" s="32"/>
      <c r="L39" s="33"/>
    </row>
    <row r="40" spans="1:12" ht="18.75" x14ac:dyDescent="0.3">
      <c r="A40" s="46"/>
      <c r="B40" s="41"/>
      <c r="C40" s="35"/>
      <c r="D40" s="36"/>
      <c r="E40" s="225"/>
      <c r="F40" s="225"/>
      <c r="G40" s="225"/>
      <c r="H40" s="225"/>
      <c r="I40" s="24"/>
      <c r="J40" s="24"/>
      <c r="K40" s="24"/>
      <c r="L40" s="25"/>
    </row>
    <row r="41" spans="1:12" x14ac:dyDescent="0.25">
      <c r="A41" s="46"/>
      <c r="B41" s="39" t="s">
        <v>49</v>
      </c>
      <c r="C41" s="357" t="s">
        <v>50</v>
      </c>
      <c r="D41" s="357"/>
      <c r="E41" s="357"/>
      <c r="F41" s="225"/>
      <c r="G41" s="225"/>
      <c r="H41" s="225"/>
      <c r="I41" s="24"/>
      <c r="J41" s="24"/>
      <c r="K41" s="24"/>
      <c r="L41" s="25"/>
    </row>
    <row r="42" spans="1:12" ht="30" customHeight="1" x14ac:dyDescent="0.25">
      <c r="A42" s="46"/>
      <c r="B42" s="71" t="s">
        <v>51</v>
      </c>
      <c r="C42" s="357" t="s">
        <v>50</v>
      </c>
      <c r="D42" s="357"/>
      <c r="E42" s="357"/>
      <c r="F42" s="225"/>
      <c r="G42" s="225"/>
      <c r="H42" s="225"/>
      <c r="I42" s="24"/>
      <c r="J42" s="24"/>
      <c r="K42" s="24"/>
      <c r="L42" s="25"/>
    </row>
    <row r="43" spans="1:12" x14ac:dyDescent="0.25">
      <c r="A43" s="48"/>
      <c r="B43" s="49"/>
      <c r="C43" s="28"/>
      <c r="D43" s="24"/>
      <c r="E43" s="24"/>
      <c r="F43" s="24"/>
      <c r="G43" s="24"/>
      <c r="H43" s="24"/>
      <c r="I43" s="24"/>
      <c r="J43" s="24"/>
      <c r="K43" s="24"/>
      <c r="L43" s="25"/>
    </row>
    <row r="44" spans="1:12" ht="18.75" x14ac:dyDescent="0.3">
      <c r="A44" s="29"/>
      <c r="B44" s="30" t="s">
        <v>52</v>
      </c>
      <c r="C44" s="31"/>
      <c r="D44" s="6"/>
      <c r="E44" s="223"/>
      <c r="F44" s="223"/>
      <c r="G44" s="223"/>
      <c r="H44" s="223"/>
      <c r="I44" s="32"/>
      <c r="J44" s="32"/>
      <c r="K44" s="32"/>
      <c r="L44" s="33"/>
    </row>
    <row r="45" spans="1:12" x14ac:dyDescent="0.25">
      <c r="A45" s="48"/>
      <c r="B45" s="49"/>
      <c r="C45" s="28"/>
      <c r="D45" s="24"/>
      <c r="E45" s="24"/>
      <c r="F45" s="24"/>
      <c r="G45" s="24"/>
      <c r="H45" s="24"/>
      <c r="I45" s="24"/>
      <c r="J45" s="24"/>
      <c r="K45" s="24"/>
      <c r="L45" s="25"/>
    </row>
    <row r="46" spans="1:12" x14ac:dyDescent="0.25">
      <c r="A46" s="48"/>
      <c r="B46" s="49"/>
      <c r="C46" s="28"/>
      <c r="D46" s="24"/>
      <c r="H46" s="24"/>
      <c r="I46" s="24"/>
      <c r="J46" s="24"/>
      <c r="K46" s="24"/>
      <c r="L46" s="25"/>
    </row>
    <row r="47" spans="1:12" x14ac:dyDescent="0.25">
      <c r="A47" s="48"/>
      <c r="B47" s="49"/>
      <c r="D47" s="50"/>
      <c r="G47" s="51"/>
      <c r="H47" s="24"/>
      <c r="I47" s="24"/>
      <c r="J47" s="24"/>
      <c r="K47" s="24"/>
      <c r="L47" s="25"/>
    </row>
    <row r="48" spans="1:12" x14ac:dyDescent="0.25">
      <c r="A48" s="52"/>
      <c r="B48" t="s">
        <v>53</v>
      </c>
      <c r="C48" s="81">
        <f>SROI!C147</f>
        <v>86.505554362906523</v>
      </c>
      <c r="D48" s="50"/>
      <c r="G48" s="51"/>
      <c r="H48" s="24"/>
      <c r="I48" s="24"/>
      <c r="J48" s="24"/>
      <c r="K48" s="24"/>
      <c r="L48" s="25"/>
    </row>
    <row r="49" spans="1:12" x14ac:dyDescent="0.25">
      <c r="A49" s="52"/>
      <c r="B49" t="s">
        <v>54</v>
      </c>
      <c r="C49" s="81">
        <f>SROI!C154</f>
        <v>461.30791897860308</v>
      </c>
      <c r="D49" s="50"/>
      <c r="G49" s="51"/>
      <c r="H49" s="24"/>
      <c r="I49" s="24"/>
      <c r="J49" s="24"/>
      <c r="K49" s="24"/>
      <c r="L49" s="25"/>
    </row>
    <row r="50" spans="1:12" x14ac:dyDescent="0.25">
      <c r="A50" s="52"/>
      <c r="B50" s="49" t="s">
        <v>55</v>
      </c>
      <c r="C50" s="81">
        <f>SROI!C156</f>
        <v>374.80236461569655</v>
      </c>
      <c r="D50" s="50"/>
      <c r="F50" t="s">
        <v>56</v>
      </c>
      <c r="G50" s="51" t="s">
        <v>57</v>
      </c>
      <c r="H50" s="24"/>
      <c r="I50" s="24"/>
      <c r="J50" s="24"/>
      <c r="K50" s="24"/>
      <c r="L50" s="25"/>
    </row>
    <row r="51" spans="1:12" x14ac:dyDescent="0.25">
      <c r="A51" s="48"/>
      <c r="C51" s="82"/>
      <c r="D51" s="24"/>
      <c r="E51" t="s">
        <v>58</v>
      </c>
      <c r="F51" s="91">
        <f>SUM(SROI!D14:N14)/F55</f>
        <v>0.68832244451832914</v>
      </c>
      <c r="G51" s="91">
        <f>SUM(SROI!D62:M62)/G55</f>
        <v>0.43185426489100193</v>
      </c>
      <c r="H51" s="24"/>
      <c r="I51" s="24"/>
      <c r="J51" s="24"/>
      <c r="K51" s="24"/>
      <c r="L51" s="25"/>
    </row>
    <row r="52" spans="1:12" x14ac:dyDescent="0.25">
      <c r="A52" s="48"/>
      <c r="D52" s="24"/>
      <c r="E52" t="s">
        <v>59</v>
      </c>
      <c r="F52" s="91">
        <f>SUM(SROI!D22:N22)/F55</f>
        <v>9.4130798658192635E-4</v>
      </c>
      <c r="G52" s="91">
        <f>SUM(SROI!D70:M70)/G55</f>
        <v>2.261159796994996E-3</v>
      </c>
      <c r="H52" s="24"/>
      <c r="I52" s="24"/>
      <c r="J52" s="24"/>
      <c r="K52" s="24"/>
      <c r="L52" s="25"/>
    </row>
    <row r="53" spans="1:12" x14ac:dyDescent="0.25">
      <c r="A53" s="26"/>
      <c r="B53" s="27"/>
      <c r="C53" s="28"/>
      <c r="D53" s="24"/>
      <c r="E53" t="s">
        <v>60</v>
      </c>
      <c r="F53" s="91">
        <f>SUM(SROI!D32:N32)/F55</f>
        <v>6.4641896923820323E-3</v>
      </c>
      <c r="G53" s="91">
        <f>SUM(SROI!D80:M80)/G55</f>
        <v>1.1978618961039302E-2</v>
      </c>
      <c r="H53" s="24"/>
      <c r="I53" s="24"/>
      <c r="J53" s="24"/>
      <c r="K53" s="24"/>
      <c r="L53" s="25"/>
    </row>
    <row r="54" spans="1:12" x14ac:dyDescent="0.25">
      <c r="A54" s="26"/>
      <c r="B54" s="27"/>
      <c r="C54" s="28"/>
      <c r="D54" s="24"/>
      <c r="E54" t="s">
        <v>61</v>
      </c>
      <c r="F54" s="91">
        <f>SUM(SROI!D42:N42)/F55</f>
        <v>0.30427205780270677</v>
      </c>
      <c r="G54" s="91">
        <f>SUM(SROI!D90:N90)/G55</f>
        <v>0.55390595635096385</v>
      </c>
      <c r="H54" s="24"/>
      <c r="J54" s="24"/>
      <c r="K54" s="24"/>
      <c r="L54" s="25"/>
    </row>
    <row r="55" spans="1:12" x14ac:dyDescent="0.25">
      <c r="A55" s="26"/>
      <c r="B55" s="27"/>
      <c r="C55" s="28"/>
      <c r="D55" s="24"/>
      <c r="E55" s="24"/>
      <c r="F55" s="81">
        <f>SUM(SROI!D45:N45)</f>
        <v>762.95482360189681</v>
      </c>
      <c r="G55" s="81">
        <f>SUM(SROI!D93:M93)</f>
        <v>452.89638102470286</v>
      </c>
      <c r="H55" s="24"/>
      <c r="I55" s="24"/>
      <c r="J55" s="24"/>
      <c r="K55" s="24"/>
      <c r="L55" s="25"/>
    </row>
    <row r="56" spans="1:12" x14ac:dyDescent="0.25">
      <c r="A56" s="26"/>
      <c r="B56" s="27"/>
      <c r="C56" s="28"/>
      <c r="D56" s="24"/>
      <c r="E56" s="24"/>
      <c r="F56" s="92"/>
      <c r="G56" s="24"/>
      <c r="H56" s="24"/>
      <c r="I56" s="24"/>
      <c r="J56" s="24"/>
      <c r="K56" s="24"/>
      <c r="L56" s="25"/>
    </row>
    <row r="57" spans="1:12" x14ac:dyDescent="0.25">
      <c r="A57" s="26"/>
      <c r="B57" s="27"/>
      <c r="C57" s="28"/>
      <c r="D57" s="24"/>
      <c r="E57" s="24"/>
      <c r="F57" s="24"/>
      <c r="G57" s="24"/>
      <c r="H57" s="24"/>
      <c r="I57" s="24"/>
      <c r="J57" s="24"/>
      <c r="K57" s="24"/>
      <c r="L57" s="25"/>
    </row>
    <row r="58" spans="1:12" x14ac:dyDescent="0.25">
      <c r="A58" s="26"/>
      <c r="B58" s="27"/>
      <c r="C58" s="28"/>
      <c r="D58" s="24"/>
      <c r="E58" s="24"/>
      <c r="F58" s="24"/>
      <c r="G58" s="24"/>
      <c r="H58" s="24"/>
      <c r="I58" s="24"/>
      <c r="J58" s="24"/>
      <c r="K58" s="24"/>
      <c r="L58" s="25"/>
    </row>
    <row r="59" spans="1:12" x14ac:dyDescent="0.25">
      <c r="A59" s="26"/>
      <c r="B59" s="27"/>
      <c r="C59" s="28"/>
      <c r="D59" s="24"/>
      <c r="E59" s="24"/>
      <c r="F59" s="24"/>
      <c r="G59" s="24"/>
      <c r="H59" s="24"/>
      <c r="I59" s="24"/>
      <c r="J59" s="24"/>
      <c r="K59" s="24"/>
      <c r="L59" s="25"/>
    </row>
    <row r="60" spans="1:12" x14ac:dyDescent="0.25">
      <c r="A60" s="26"/>
      <c r="B60" s="27"/>
      <c r="C60" s="28"/>
      <c r="D60" s="24"/>
      <c r="E60" s="24"/>
      <c r="F60" s="24"/>
      <c r="G60" s="24"/>
      <c r="H60" s="24"/>
      <c r="I60" s="24"/>
      <c r="J60" s="24"/>
      <c r="K60" s="24"/>
      <c r="L60" s="25"/>
    </row>
    <row r="61" spans="1:12" x14ac:dyDescent="0.25">
      <c r="A61" s="26"/>
      <c r="B61" s="27"/>
      <c r="C61" s="28"/>
      <c r="D61" s="24"/>
      <c r="E61" s="24"/>
      <c r="F61" s="24"/>
      <c r="G61" s="24"/>
      <c r="H61" s="24"/>
      <c r="I61" s="24"/>
      <c r="J61" s="24"/>
      <c r="K61" s="24"/>
      <c r="L61" s="25"/>
    </row>
    <row r="62" spans="1:12" x14ac:dyDescent="0.25">
      <c r="A62" s="26"/>
      <c r="B62" s="27"/>
      <c r="C62" s="28"/>
      <c r="D62" s="24"/>
      <c r="E62" s="24"/>
      <c r="F62" s="24"/>
      <c r="G62" s="24"/>
      <c r="H62" s="24"/>
      <c r="I62" s="24"/>
      <c r="J62" s="24"/>
      <c r="K62" s="24"/>
      <c r="L62" s="25"/>
    </row>
    <row r="63" spans="1:12" x14ac:dyDescent="0.25">
      <c r="A63" s="26"/>
      <c r="B63" s="27"/>
      <c r="C63" s="28"/>
      <c r="D63" s="24"/>
      <c r="E63" s="24"/>
      <c r="F63" s="24"/>
      <c r="G63" s="24"/>
      <c r="H63" s="24"/>
      <c r="I63" s="24"/>
      <c r="J63" s="24"/>
      <c r="K63" s="24"/>
      <c r="L63" s="25"/>
    </row>
    <row r="64" spans="1:12" x14ac:dyDescent="0.25">
      <c r="A64" s="26"/>
      <c r="B64" s="27"/>
      <c r="C64" s="28"/>
      <c r="D64" s="24"/>
      <c r="E64" s="24"/>
      <c r="F64" s="24"/>
      <c r="G64" s="24"/>
      <c r="H64" s="24"/>
      <c r="I64" s="24"/>
      <c r="J64" s="24"/>
      <c r="K64" s="24"/>
      <c r="L64" s="25"/>
    </row>
    <row r="65" spans="1:14" x14ac:dyDescent="0.25">
      <c r="A65" s="26"/>
      <c r="B65" s="27"/>
      <c r="C65" s="28"/>
      <c r="D65" s="24"/>
      <c r="E65" s="24"/>
      <c r="F65" s="24"/>
      <c r="G65" s="24"/>
      <c r="H65" s="24"/>
      <c r="I65" s="24"/>
      <c r="J65" s="24"/>
      <c r="K65" s="24"/>
      <c r="L65" s="25"/>
    </row>
    <row r="66" spans="1:14" x14ac:dyDescent="0.25">
      <c r="A66" s="358"/>
      <c r="B66" s="358"/>
      <c r="E66" s="24"/>
      <c r="F66" s="24"/>
      <c r="G66" s="24"/>
      <c r="H66" s="24"/>
      <c r="I66" s="24"/>
      <c r="J66" s="24"/>
      <c r="K66" s="24"/>
      <c r="L66" s="25"/>
    </row>
    <row r="67" spans="1:14" x14ac:dyDescent="0.25">
      <c r="A67" s="358"/>
      <c r="B67" s="358"/>
      <c r="E67" s="24"/>
      <c r="F67" s="24"/>
      <c r="G67" s="84"/>
      <c r="H67" s="24"/>
      <c r="I67" s="24"/>
      <c r="J67" s="24"/>
      <c r="K67" s="24"/>
      <c r="L67" s="25"/>
      <c r="N67" s="80"/>
    </row>
    <row r="68" spans="1:14" x14ac:dyDescent="0.25">
      <c r="A68" s="358"/>
      <c r="B68" s="358"/>
      <c r="E68" s="24"/>
      <c r="F68" s="24"/>
      <c r="G68" s="84"/>
      <c r="H68" s="24"/>
      <c r="I68" s="24"/>
      <c r="J68" s="24"/>
      <c r="K68" s="24"/>
      <c r="L68" s="25"/>
    </row>
    <row r="69" spans="1:14" ht="18.75" x14ac:dyDescent="0.3">
      <c r="A69" s="26"/>
      <c r="B69" s="53" t="s">
        <v>62</v>
      </c>
      <c r="C69" s="83">
        <f>SROI!C146</f>
        <v>2852953.1828886573</v>
      </c>
      <c r="D69" s="24"/>
      <c r="E69" s="24"/>
      <c r="F69" s="24"/>
      <c r="G69" s="24"/>
      <c r="H69" s="24"/>
      <c r="I69" s="24"/>
      <c r="J69" s="24"/>
      <c r="K69" s="24"/>
      <c r="L69" s="25"/>
    </row>
    <row r="70" spans="1:14" ht="18.75" x14ac:dyDescent="0.3">
      <c r="A70" s="26"/>
      <c r="B70" s="53" t="s">
        <v>63</v>
      </c>
      <c r="C70" s="83">
        <f>SROI!C151</f>
        <v>15213935.167914329</v>
      </c>
      <c r="D70" s="24"/>
      <c r="E70" s="24"/>
      <c r="F70" s="24"/>
      <c r="G70" s="24"/>
      <c r="H70" s="24"/>
      <c r="I70" s="24"/>
      <c r="J70" s="24"/>
      <c r="K70" s="24"/>
      <c r="L70" s="25"/>
    </row>
    <row r="71" spans="1:14" ht="18.75" x14ac:dyDescent="0.3">
      <c r="A71" s="26"/>
      <c r="B71" s="53" t="s">
        <v>64</v>
      </c>
      <c r="C71" s="83">
        <f>SROI!C155</f>
        <v>12360981.985025672</v>
      </c>
      <c r="D71" s="24"/>
      <c r="E71" s="24"/>
      <c r="F71" s="24"/>
      <c r="G71" s="24"/>
      <c r="H71" s="24"/>
      <c r="I71" s="24"/>
      <c r="J71" s="24"/>
      <c r="K71" s="24"/>
      <c r="L71" s="25"/>
    </row>
    <row r="72" spans="1:14" x14ac:dyDescent="0.25">
      <c r="A72" s="26"/>
      <c r="D72" s="24"/>
      <c r="E72" s="24"/>
      <c r="F72" s="24"/>
      <c r="G72" s="24"/>
      <c r="H72" s="24"/>
      <c r="I72" s="24"/>
      <c r="J72" s="24"/>
      <c r="K72" s="24"/>
      <c r="L72" s="25"/>
    </row>
    <row r="73" spans="1:14" x14ac:dyDescent="0.25">
      <c r="A73" s="26"/>
      <c r="B73" s="27"/>
      <c r="C73" s="28"/>
      <c r="D73" s="24"/>
      <c r="E73" s="24"/>
      <c r="F73" s="24"/>
      <c r="G73" s="24"/>
      <c r="H73" s="24"/>
      <c r="I73" s="24"/>
      <c r="J73" s="24"/>
      <c r="K73" s="24"/>
      <c r="L73" s="25"/>
    </row>
    <row r="74" spans="1:14" x14ac:dyDescent="0.25">
      <c r="A74" s="26"/>
      <c r="B74" s="27"/>
      <c r="C74" s="28"/>
      <c r="D74" s="24"/>
      <c r="E74" s="24"/>
      <c r="F74" s="24"/>
      <c r="G74" s="24"/>
      <c r="H74" s="24"/>
      <c r="I74" s="24"/>
      <c r="J74" s="24"/>
      <c r="K74" s="24"/>
      <c r="L74" s="25"/>
    </row>
    <row r="75" spans="1:14" x14ac:dyDescent="0.25">
      <c r="A75" s="26"/>
      <c r="B75" s="27"/>
      <c r="C75" s="28"/>
      <c r="D75" s="24"/>
      <c r="E75" s="24"/>
      <c r="F75" s="24"/>
      <c r="G75" s="24"/>
      <c r="H75" s="24"/>
      <c r="I75" s="24"/>
      <c r="J75" s="24"/>
      <c r="K75" s="24"/>
      <c r="L75" s="25"/>
    </row>
    <row r="76" spans="1:14" x14ac:dyDescent="0.25">
      <c r="A76" s="26"/>
      <c r="B76" s="27"/>
      <c r="C76" s="28"/>
      <c r="D76" s="24"/>
      <c r="E76" s="24"/>
      <c r="F76" s="24"/>
      <c r="G76" s="24"/>
      <c r="H76" s="24"/>
      <c r="I76" s="24"/>
      <c r="J76" s="24"/>
      <c r="K76" s="24"/>
      <c r="L76" s="25"/>
    </row>
    <row r="77" spans="1:14" x14ac:dyDescent="0.25">
      <c r="A77" s="26"/>
      <c r="B77" s="27"/>
      <c r="C77" s="28"/>
      <c r="D77" s="24"/>
      <c r="E77" s="24"/>
      <c r="F77" s="24"/>
      <c r="G77" s="24"/>
      <c r="H77" s="24"/>
      <c r="I77" s="24"/>
      <c r="J77" s="24"/>
      <c r="K77" s="24"/>
      <c r="L77" s="25"/>
    </row>
    <row r="78" spans="1:14" x14ac:dyDescent="0.25">
      <c r="A78" s="26"/>
      <c r="B78" s="27"/>
      <c r="C78" s="28"/>
      <c r="D78" s="24"/>
      <c r="E78" s="24"/>
      <c r="F78" s="24"/>
      <c r="G78" s="24"/>
      <c r="H78" s="24"/>
      <c r="I78" s="24"/>
      <c r="J78" s="24"/>
      <c r="K78" s="24"/>
      <c r="L78" s="25"/>
    </row>
    <row r="79" spans="1:14" x14ac:dyDescent="0.25">
      <c r="A79" s="26"/>
      <c r="B79" s="27"/>
      <c r="C79" s="28"/>
      <c r="D79" s="24"/>
      <c r="E79" s="24"/>
      <c r="F79" s="24"/>
      <c r="G79" s="24"/>
      <c r="H79" s="24"/>
      <c r="I79" s="24"/>
      <c r="J79" s="24"/>
      <c r="K79" s="24"/>
      <c r="L79" s="25"/>
    </row>
    <row r="80" spans="1:14" x14ac:dyDescent="0.25">
      <c r="A80" s="26"/>
      <c r="B80" s="27"/>
      <c r="C80" s="28"/>
      <c r="D80" s="24"/>
      <c r="E80" s="24"/>
      <c r="F80" s="24"/>
      <c r="G80" s="24"/>
      <c r="H80" s="24"/>
      <c r="I80" s="24"/>
      <c r="J80" s="24"/>
      <c r="K80" s="24"/>
      <c r="L80" s="25"/>
    </row>
    <row r="81" spans="1:12" x14ac:dyDescent="0.25">
      <c r="A81" s="26"/>
      <c r="B81" s="27"/>
      <c r="C81" s="28"/>
      <c r="D81" s="24"/>
      <c r="E81" s="24"/>
      <c r="F81" s="24"/>
      <c r="G81" s="24"/>
      <c r="H81" s="24"/>
      <c r="I81" s="24"/>
      <c r="J81" s="24"/>
      <c r="K81" s="24"/>
      <c r="L81" s="25"/>
    </row>
    <row r="82" spans="1:12" x14ac:dyDescent="0.25">
      <c r="A82" s="54"/>
      <c r="B82" s="55"/>
      <c r="C82" s="56"/>
      <c r="D82" s="57"/>
      <c r="E82" s="57"/>
      <c r="F82" s="57"/>
      <c r="G82" s="57"/>
      <c r="H82" s="57"/>
      <c r="I82" s="57"/>
      <c r="J82" s="57"/>
      <c r="K82" s="57"/>
      <c r="L82" s="58"/>
    </row>
  </sheetData>
  <mergeCells count="5">
    <mergeCell ref="C2:D2"/>
    <mergeCell ref="C41:E41"/>
    <mergeCell ref="C42:E42"/>
    <mergeCell ref="A66:A68"/>
    <mergeCell ref="B66:B68"/>
  </mergeCells>
  <phoneticPr fontId="24" type="noConversion"/>
  <conditionalFormatting sqref="C23:C24">
    <cfRule type="cellIs" dxfId="44" priority="8" operator="equal">
      <formula>"High"</formula>
    </cfRule>
    <cfRule type="cellIs" dxfId="43" priority="9" operator="equal">
      <formula>"Medium"</formula>
    </cfRule>
    <cfRule type="cellIs" dxfId="42" priority="10" operator="equal">
      <formula>"Low"</formula>
    </cfRule>
  </conditionalFormatting>
  <conditionalFormatting sqref="C26:C28">
    <cfRule type="cellIs" dxfId="41" priority="1" operator="equal">
      <formula>"High"</formula>
    </cfRule>
    <cfRule type="cellIs" dxfId="40" priority="2" operator="equal">
      <formula>"Medium"</formula>
    </cfRule>
    <cfRule type="cellIs" dxfId="39" priority="3" operator="equal">
      <formula>"Low"</formula>
    </cfRule>
  </conditionalFormatting>
  <conditionalFormatting sqref="C37">
    <cfRule type="cellIs" dxfId="38" priority="5" operator="equal">
      <formula>"Excellent"</formula>
    </cfRule>
    <cfRule type="cellIs" dxfId="37" priority="6" operator="equal">
      <formula>"Good"</formula>
    </cfRule>
    <cfRule type="cellIs" dxfId="36" priority="7" operator="equal">
      <formula>"Fair"</formula>
    </cfRule>
  </conditionalFormatting>
  <dataValidations count="3">
    <dataValidation type="list" allowBlank="1" showInputMessage="1" showErrorMessage="1" sqref="C23" xr:uid="{BF15226C-1C64-4539-90D7-C0B022D5151D}">
      <formula1>"Low, Medium, High"</formula1>
    </dataValidation>
    <dataValidation type="list" allowBlank="1" showInputMessage="1" showErrorMessage="1" sqref="C37" xr:uid="{F09229AF-A40E-4C42-A5AA-5D2E66C8F6D8}">
      <formula1>"Fair, Good, Excellent"</formula1>
    </dataValidation>
    <dataValidation type="list" allowBlank="1" showInputMessage="1" showErrorMessage="1" sqref="C22" xr:uid="{6BF1CF9B-B675-49F1-955C-ADCE987D0DFD}">
      <formula1>"Forecast, Evaluative"</formula1>
    </dataValidation>
  </dataValidations>
  <hyperlinks>
    <hyperlink ref="C7" r:id="rId1" xr:uid="{B5EB4EF7-70F1-4AFA-9DF4-37D89EB08952}"/>
    <hyperlink ref="C8" r:id="rId2" xr:uid="{60D41579-2797-4150-907A-C7AAE4745F8A}"/>
  </hyperlinks>
  <pageMargins left="0.7" right="0.7" top="0.75" bottom="0.75" header="0.3" footer="0.3"/>
  <pageSetup paperSize="9" orientation="portrait" horizontalDpi="1200" verticalDpi="1200" r:id="rId3"/>
  <drawing r:id="rId4"/>
  <legacy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AA3DCB-C1B8-4725-805B-CD5B6FD34C12}">
  <dimension ref="A1:Y87"/>
  <sheetViews>
    <sheetView showGridLines="0" zoomScaleNormal="100" workbookViewId="0">
      <selection activeCell="I97" sqref="I97"/>
    </sheetView>
  </sheetViews>
  <sheetFormatPr baseColWidth="10" defaultColWidth="8.5703125" defaultRowHeight="15" x14ac:dyDescent="0.25"/>
  <cols>
    <col min="1" max="1" width="3.85546875" customWidth="1"/>
  </cols>
  <sheetData>
    <row r="1" spans="1:25" ht="18.75" x14ac:dyDescent="0.3">
      <c r="A1" s="98"/>
      <c r="B1" s="99" t="s">
        <v>65</v>
      </c>
      <c r="C1" s="100"/>
      <c r="D1" s="100"/>
      <c r="E1" s="100"/>
      <c r="F1" s="100"/>
      <c r="G1" s="100"/>
      <c r="H1" s="100"/>
      <c r="I1" s="100"/>
      <c r="J1" s="100"/>
      <c r="K1" s="100"/>
      <c r="L1" s="100"/>
      <c r="M1" s="100"/>
      <c r="N1" s="100"/>
      <c r="O1" s="100"/>
      <c r="P1" s="100"/>
      <c r="Q1" s="100"/>
      <c r="R1" s="100"/>
      <c r="S1" s="100"/>
      <c r="T1" s="100"/>
      <c r="U1" s="100"/>
      <c r="V1" s="100"/>
      <c r="W1" s="100"/>
      <c r="X1" s="100"/>
      <c r="Y1" s="101"/>
    </row>
    <row r="2" spans="1:25" x14ac:dyDescent="0.25">
      <c r="Y2" s="10"/>
    </row>
    <row r="3" spans="1:25" x14ac:dyDescent="0.25">
      <c r="Y3" s="10"/>
    </row>
    <row r="4" spans="1:25" x14ac:dyDescent="0.25">
      <c r="Y4" s="10"/>
    </row>
    <row r="5" spans="1:25" x14ac:dyDescent="0.25">
      <c r="Y5" s="10"/>
    </row>
    <row r="6" spans="1:25" x14ac:dyDescent="0.25">
      <c r="Y6" s="10"/>
    </row>
    <row r="7" spans="1:25" x14ac:dyDescent="0.25">
      <c r="Y7" s="10"/>
    </row>
    <row r="8" spans="1:25" x14ac:dyDescent="0.25">
      <c r="Y8" s="10"/>
    </row>
    <row r="9" spans="1:25" x14ac:dyDescent="0.25">
      <c r="Y9" s="10"/>
    </row>
    <row r="10" spans="1:25" x14ac:dyDescent="0.25">
      <c r="Y10" s="10"/>
    </row>
    <row r="11" spans="1:25" x14ac:dyDescent="0.25">
      <c r="Y11" s="10"/>
    </row>
    <row r="12" spans="1:25" x14ac:dyDescent="0.25">
      <c r="Y12" s="10"/>
    </row>
    <row r="13" spans="1:25" x14ac:dyDescent="0.25">
      <c r="Y13" s="10"/>
    </row>
    <row r="14" spans="1:25" x14ac:dyDescent="0.25">
      <c r="Y14" s="10"/>
    </row>
    <row r="15" spans="1:25" x14ac:dyDescent="0.25">
      <c r="Y15" s="10"/>
    </row>
    <row r="16" spans="1:25" x14ac:dyDescent="0.25">
      <c r="Y16" s="10"/>
    </row>
    <row r="17" spans="25:25" x14ac:dyDescent="0.25">
      <c r="Y17" s="10"/>
    </row>
    <row r="18" spans="25:25" x14ac:dyDescent="0.25">
      <c r="Y18" s="10"/>
    </row>
    <row r="19" spans="25:25" x14ac:dyDescent="0.25">
      <c r="Y19" s="10"/>
    </row>
    <row r="20" spans="25:25" x14ac:dyDescent="0.25">
      <c r="Y20" s="10"/>
    </row>
    <row r="21" spans="25:25" x14ac:dyDescent="0.25">
      <c r="Y21" s="10"/>
    </row>
    <row r="22" spans="25:25" x14ac:dyDescent="0.25">
      <c r="Y22" s="10"/>
    </row>
    <row r="23" spans="25:25" x14ac:dyDescent="0.25">
      <c r="Y23" s="10"/>
    </row>
    <row r="24" spans="25:25" x14ac:dyDescent="0.25">
      <c r="Y24" s="10"/>
    </row>
    <row r="25" spans="25:25" x14ac:dyDescent="0.25">
      <c r="Y25" s="10"/>
    </row>
    <row r="26" spans="25:25" x14ac:dyDescent="0.25">
      <c r="Y26" s="10"/>
    </row>
    <row r="27" spans="25:25" x14ac:dyDescent="0.25">
      <c r="Y27" s="10"/>
    </row>
    <row r="28" spans="25:25" x14ac:dyDescent="0.25">
      <c r="Y28" s="10"/>
    </row>
    <row r="29" spans="25:25" x14ac:dyDescent="0.25">
      <c r="Y29" s="10"/>
    </row>
    <row r="30" spans="25:25" x14ac:dyDescent="0.25">
      <c r="Y30" s="10"/>
    </row>
    <row r="31" spans="25:25" x14ac:dyDescent="0.25">
      <c r="Y31" s="10"/>
    </row>
    <row r="32" spans="25:25" x14ac:dyDescent="0.25">
      <c r="Y32" s="10"/>
    </row>
    <row r="33" spans="1:25" x14ac:dyDescent="0.25">
      <c r="Y33" s="10"/>
    </row>
    <row r="34" spans="1:25" x14ac:dyDescent="0.25">
      <c r="Y34" s="10"/>
    </row>
    <row r="35" spans="1:25" x14ac:dyDescent="0.25">
      <c r="Y35" s="10"/>
    </row>
    <row r="36" spans="1:25" x14ac:dyDescent="0.25">
      <c r="Y36" s="10"/>
    </row>
    <row r="37" spans="1:25" x14ac:dyDescent="0.25">
      <c r="Y37" s="10"/>
    </row>
    <row r="38" spans="1:25" x14ac:dyDescent="0.25">
      <c r="Y38" s="10"/>
    </row>
    <row r="39" spans="1:25" x14ac:dyDescent="0.25">
      <c r="Y39" s="10"/>
    </row>
    <row r="40" spans="1:25" x14ac:dyDescent="0.25">
      <c r="Y40" s="10"/>
    </row>
    <row r="41" spans="1:25" x14ac:dyDescent="0.25">
      <c r="Y41" s="10"/>
    </row>
    <row r="42" spans="1:25" x14ac:dyDescent="0.25">
      <c r="Y42" s="10"/>
    </row>
    <row r="43" spans="1:25" x14ac:dyDescent="0.25">
      <c r="Y43" s="10"/>
    </row>
    <row r="44" spans="1:25" x14ac:dyDescent="0.25">
      <c r="Y44" s="10"/>
    </row>
    <row r="45" spans="1:25" x14ac:dyDescent="0.25">
      <c r="Y45" s="10"/>
    </row>
    <row r="46" spans="1:25" ht="18.75" x14ac:dyDescent="0.3">
      <c r="A46" s="11"/>
      <c r="B46" s="102" t="s">
        <v>66</v>
      </c>
      <c r="C46" s="6"/>
      <c r="D46" s="6"/>
      <c r="E46" s="6"/>
      <c r="F46" s="6"/>
      <c r="G46" s="6"/>
      <c r="H46" s="6"/>
      <c r="I46" s="6"/>
      <c r="J46" s="6"/>
      <c r="K46" s="6"/>
      <c r="L46" s="6"/>
      <c r="M46" s="6"/>
      <c r="N46" s="6"/>
      <c r="O46" s="6"/>
      <c r="P46" s="6"/>
      <c r="Q46" s="6"/>
      <c r="R46" s="6"/>
      <c r="S46" s="6"/>
      <c r="T46" s="6"/>
      <c r="U46" s="6"/>
      <c r="V46" s="6"/>
      <c r="W46" s="6"/>
      <c r="X46" s="6"/>
      <c r="Y46" s="12"/>
    </row>
    <row r="47" spans="1:25" x14ac:dyDescent="0.25">
      <c r="Y47" s="10"/>
    </row>
    <row r="48" spans="1:25" x14ac:dyDescent="0.25">
      <c r="Y48" s="10"/>
    </row>
    <row r="49" spans="25:25" x14ac:dyDescent="0.25">
      <c r="Y49" s="10"/>
    </row>
    <row r="50" spans="25:25" x14ac:dyDescent="0.25">
      <c r="Y50" s="10"/>
    </row>
    <row r="51" spans="25:25" x14ac:dyDescent="0.25">
      <c r="Y51" s="10"/>
    </row>
    <row r="52" spans="25:25" x14ac:dyDescent="0.25">
      <c r="Y52" s="10"/>
    </row>
    <row r="53" spans="25:25" x14ac:dyDescent="0.25">
      <c r="Y53" s="10"/>
    </row>
    <row r="54" spans="25:25" x14ac:dyDescent="0.25">
      <c r="Y54" s="10"/>
    </row>
    <row r="55" spans="25:25" x14ac:dyDescent="0.25">
      <c r="Y55" s="10"/>
    </row>
    <row r="56" spans="25:25" x14ac:dyDescent="0.25">
      <c r="Y56" s="10"/>
    </row>
    <row r="57" spans="25:25" x14ac:dyDescent="0.25">
      <c r="Y57" s="10"/>
    </row>
    <row r="58" spans="25:25" x14ac:dyDescent="0.25">
      <c r="Y58" s="10"/>
    </row>
    <row r="59" spans="25:25" x14ac:dyDescent="0.25">
      <c r="Y59" s="10"/>
    </row>
    <row r="60" spans="25:25" x14ac:dyDescent="0.25">
      <c r="Y60" s="10"/>
    </row>
    <row r="61" spans="25:25" x14ac:dyDescent="0.25">
      <c r="Y61" s="10"/>
    </row>
    <row r="62" spans="25:25" x14ac:dyDescent="0.25">
      <c r="Y62" s="10"/>
    </row>
    <row r="63" spans="25:25" x14ac:dyDescent="0.25">
      <c r="Y63" s="10"/>
    </row>
    <row r="64" spans="25:25" x14ac:dyDescent="0.25">
      <c r="Y64" s="10"/>
    </row>
    <row r="65" spans="25:25" x14ac:dyDescent="0.25">
      <c r="Y65" s="10"/>
    </row>
    <row r="66" spans="25:25" x14ac:dyDescent="0.25">
      <c r="Y66" s="10"/>
    </row>
    <row r="67" spans="25:25" x14ac:dyDescent="0.25">
      <c r="Y67" s="10"/>
    </row>
    <row r="68" spans="25:25" x14ac:dyDescent="0.25">
      <c r="Y68" s="10"/>
    </row>
    <row r="69" spans="25:25" x14ac:dyDescent="0.25">
      <c r="Y69" s="10"/>
    </row>
    <row r="70" spans="25:25" x14ac:dyDescent="0.25">
      <c r="Y70" s="10"/>
    </row>
    <row r="71" spans="25:25" x14ac:dyDescent="0.25">
      <c r="Y71" s="10"/>
    </row>
    <row r="72" spans="25:25" x14ac:dyDescent="0.25">
      <c r="Y72" s="10"/>
    </row>
    <row r="73" spans="25:25" x14ac:dyDescent="0.25">
      <c r="Y73" s="10"/>
    </row>
    <row r="74" spans="25:25" x14ac:dyDescent="0.25">
      <c r="Y74" s="10"/>
    </row>
    <row r="75" spans="25:25" x14ac:dyDescent="0.25">
      <c r="Y75" s="10"/>
    </row>
    <row r="76" spans="25:25" x14ac:dyDescent="0.25">
      <c r="Y76" s="10"/>
    </row>
    <row r="77" spans="25:25" x14ac:dyDescent="0.25">
      <c r="Y77" s="10"/>
    </row>
    <row r="78" spans="25:25" x14ac:dyDescent="0.25">
      <c r="Y78" s="10"/>
    </row>
    <row r="79" spans="25:25" x14ac:dyDescent="0.25">
      <c r="Y79" s="10"/>
    </row>
    <row r="80" spans="25:25" x14ac:dyDescent="0.25">
      <c r="Y80" s="10"/>
    </row>
    <row r="81" spans="1:25" x14ac:dyDescent="0.25">
      <c r="Y81" s="10"/>
    </row>
    <row r="82" spans="1:25" x14ac:dyDescent="0.25">
      <c r="Y82" s="10"/>
    </row>
    <row r="83" spans="1:25" x14ac:dyDescent="0.25">
      <c r="Y83" s="10"/>
    </row>
    <row r="84" spans="1:25" x14ac:dyDescent="0.25">
      <c r="Y84" s="10"/>
    </row>
    <row r="85" spans="1:25" x14ac:dyDescent="0.25">
      <c r="Y85" s="10"/>
    </row>
    <row r="86" spans="1:25" x14ac:dyDescent="0.25">
      <c r="Y86" s="10"/>
    </row>
    <row r="87" spans="1:25" x14ac:dyDescent="0.25">
      <c r="A87" s="60"/>
      <c r="B87" s="60"/>
      <c r="C87" s="60"/>
      <c r="D87" s="60"/>
      <c r="E87" s="60"/>
      <c r="F87" s="60"/>
      <c r="G87" s="60"/>
      <c r="H87" s="60"/>
      <c r="I87" s="60"/>
      <c r="J87" s="60"/>
      <c r="K87" s="60"/>
      <c r="L87" s="60"/>
      <c r="M87" s="60"/>
      <c r="N87" s="60"/>
      <c r="O87" s="60"/>
      <c r="P87" s="60"/>
      <c r="Q87" s="60"/>
      <c r="R87" s="60"/>
      <c r="S87" s="60"/>
      <c r="T87" s="60"/>
      <c r="U87" s="60"/>
      <c r="V87" s="60"/>
      <c r="W87" s="60"/>
      <c r="X87" s="60"/>
      <c r="Y87" s="61"/>
    </row>
  </sheetData>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F310D1-479A-4906-B65A-984E14A9DF30}">
  <dimension ref="A1:W113"/>
  <sheetViews>
    <sheetView showGridLines="0" topLeftCell="A70" zoomScaleNormal="100" workbookViewId="0">
      <selection activeCell="B103" sqref="B103"/>
    </sheetView>
  </sheetViews>
  <sheetFormatPr baseColWidth="10" defaultColWidth="8.5703125" defaultRowHeight="15" x14ac:dyDescent="0.25"/>
  <cols>
    <col min="1" max="1" width="3.28515625" customWidth="1"/>
    <col min="2" max="2" width="73.85546875" customWidth="1"/>
    <col min="3" max="3" width="15.140625" customWidth="1"/>
    <col min="4" max="4" width="39.42578125" customWidth="1"/>
    <col min="5" max="5" width="25.28515625" customWidth="1"/>
    <col min="6" max="6" width="14.7109375" customWidth="1"/>
    <col min="7" max="7" width="13.28515625" customWidth="1"/>
    <col min="8" max="8" width="47.5703125" customWidth="1"/>
    <col min="9" max="9" width="13.140625" customWidth="1"/>
    <col min="10" max="10" width="26.5703125" customWidth="1"/>
    <col min="11" max="11" width="22.28515625" customWidth="1"/>
    <col min="12" max="20" width="13.28515625" customWidth="1"/>
    <col min="21" max="21" width="25.85546875" customWidth="1"/>
  </cols>
  <sheetData>
    <row r="1" spans="1:21" ht="6.6" customHeight="1" x14ac:dyDescent="0.25"/>
    <row r="2" spans="1:21" s="7" customFormat="1" ht="19.899999999999999" customHeight="1" x14ac:dyDescent="0.3">
      <c r="A2" s="152"/>
      <c r="B2" s="102" t="s">
        <v>67</v>
      </c>
      <c r="C2" s="239"/>
      <c r="D2" s="239"/>
      <c r="E2" s="239"/>
      <c r="F2" s="239"/>
      <c r="G2" s="239"/>
      <c r="H2" s="239"/>
      <c r="I2" s="239"/>
      <c r="J2" s="239"/>
      <c r="K2" s="239"/>
      <c r="L2" s="239"/>
      <c r="M2" s="239"/>
      <c r="N2" s="239"/>
      <c r="O2" s="239"/>
      <c r="P2" s="239"/>
      <c r="Q2" s="239"/>
      <c r="R2" s="240"/>
      <c r="S2" s="240"/>
      <c r="T2" s="240"/>
      <c r="U2" s="241"/>
    </row>
    <row r="3" spans="1:21" ht="15.75" thickBot="1" x14ac:dyDescent="0.3">
      <c r="A3" s="242"/>
      <c r="B3" s="242"/>
      <c r="C3" s="242"/>
      <c r="D3" s="242"/>
      <c r="E3" s="242"/>
      <c r="F3" s="242"/>
      <c r="G3" s="242"/>
      <c r="H3" s="242"/>
      <c r="I3" s="242"/>
      <c r="J3" s="242"/>
      <c r="K3" s="242"/>
      <c r="L3" s="242"/>
      <c r="M3" s="242"/>
      <c r="N3" s="242"/>
      <c r="O3" s="242"/>
      <c r="P3" s="242"/>
      <c r="Q3" s="242"/>
      <c r="R3" s="242"/>
      <c r="S3" s="242"/>
      <c r="T3" s="242"/>
      <c r="U3" s="243"/>
    </row>
    <row r="4" spans="1:21" x14ac:dyDescent="0.25">
      <c r="A4" s="242"/>
      <c r="B4" s="94" t="s">
        <v>68</v>
      </c>
      <c r="C4" s="103" t="s">
        <v>69</v>
      </c>
      <c r="D4" s="242"/>
      <c r="E4" s="363" t="s">
        <v>70</v>
      </c>
      <c r="F4" s="363"/>
      <c r="G4" s="363"/>
      <c r="H4" s="363"/>
      <c r="I4" s="363"/>
      <c r="J4" s="363"/>
      <c r="K4" s="242"/>
      <c r="L4" s="242"/>
      <c r="M4" s="242"/>
      <c r="N4" s="242"/>
      <c r="O4" s="242"/>
      <c r="P4" s="242"/>
      <c r="Q4" s="242"/>
      <c r="R4" s="242"/>
      <c r="S4" s="242"/>
      <c r="T4" s="242"/>
      <c r="U4" s="243"/>
    </row>
    <row r="5" spans="1:21" x14ac:dyDescent="0.25">
      <c r="A5" s="242"/>
      <c r="B5" s="95" t="s">
        <v>71</v>
      </c>
      <c r="C5" s="104">
        <v>2024</v>
      </c>
      <c r="D5" s="242"/>
      <c r="E5" s="364" t="s">
        <v>72</v>
      </c>
      <c r="F5" s="364"/>
      <c r="G5" s="364"/>
      <c r="H5" s="364"/>
      <c r="I5" s="364"/>
      <c r="J5" s="364"/>
      <c r="K5" s="242"/>
      <c r="L5" s="242"/>
      <c r="M5" s="242"/>
      <c r="N5" s="242"/>
      <c r="O5" s="242"/>
      <c r="P5" s="242"/>
      <c r="Q5" s="242"/>
      <c r="R5" s="242"/>
      <c r="S5" s="242"/>
      <c r="T5" s="242"/>
      <c r="U5" s="243"/>
    </row>
    <row r="6" spans="1:21" x14ac:dyDescent="0.25">
      <c r="A6" s="242"/>
      <c r="B6" s="95" t="s">
        <v>73</v>
      </c>
      <c r="C6" s="104">
        <v>2021</v>
      </c>
      <c r="D6" s="242"/>
      <c r="E6" s="365" t="s">
        <v>74</v>
      </c>
      <c r="F6" s="365"/>
      <c r="G6" s="365"/>
      <c r="H6" s="365"/>
      <c r="I6" s="365"/>
      <c r="J6" s="365"/>
      <c r="K6" s="242"/>
      <c r="L6" s="242"/>
      <c r="M6" s="242"/>
      <c r="N6" s="242"/>
      <c r="O6" s="242"/>
      <c r="P6" s="242"/>
      <c r="Q6" s="242"/>
      <c r="R6" s="242"/>
      <c r="S6" s="242"/>
      <c r="T6" s="242"/>
      <c r="U6" s="243"/>
    </row>
    <row r="7" spans="1:21" ht="15.75" thickBot="1" x14ac:dyDescent="0.3">
      <c r="A7" s="242"/>
      <c r="B7" s="96" t="s">
        <v>75</v>
      </c>
      <c r="C7" s="105" t="s">
        <v>76</v>
      </c>
      <c r="D7" s="242"/>
      <c r="E7" s="242"/>
      <c r="F7" s="242"/>
      <c r="G7" s="242"/>
      <c r="H7" s="242"/>
      <c r="I7" s="242"/>
      <c r="J7" s="242"/>
      <c r="K7" s="242"/>
      <c r="L7" s="242"/>
      <c r="M7" s="242"/>
      <c r="N7" s="242"/>
      <c r="O7" s="242"/>
      <c r="P7" s="242"/>
      <c r="Q7" s="242"/>
      <c r="R7" s="242"/>
      <c r="S7" s="242"/>
      <c r="T7" s="242"/>
      <c r="U7" s="243"/>
    </row>
    <row r="8" spans="1:21" x14ac:dyDescent="0.25">
      <c r="A8" s="242"/>
      <c r="B8" s="242"/>
      <c r="C8" s="242"/>
      <c r="D8" s="242"/>
      <c r="E8" s="242"/>
      <c r="F8" s="242"/>
      <c r="G8" s="242"/>
      <c r="H8" s="242"/>
      <c r="I8" s="242"/>
      <c r="J8" s="242"/>
      <c r="K8" s="242"/>
      <c r="L8" s="242"/>
      <c r="M8" s="242"/>
      <c r="N8" s="242"/>
      <c r="O8" s="242"/>
      <c r="P8" s="242"/>
      <c r="Q8" s="242"/>
      <c r="R8" s="242"/>
      <c r="S8" s="242"/>
      <c r="T8" s="242"/>
      <c r="U8" s="243"/>
    </row>
    <row r="9" spans="1:21" ht="19.899999999999999" customHeight="1" x14ac:dyDescent="0.3">
      <c r="B9" s="102" t="s">
        <v>77</v>
      </c>
      <c r="C9" s="239"/>
      <c r="D9" s="239"/>
      <c r="E9" s="239"/>
      <c r="F9" s="239"/>
      <c r="G9" s="239"/>
      <c r="H9" s="239"/>
      <c r="I9" s="239"/>
      <c r="J9" s="239"/>
      <c r="K9" s="239"/>
      <c r="L9" s="239"/>
      <c r="M9" s="239"/>
      <c r="N9" s="239"/>
      <c r="O9" s="239"/>
      <c r="P9" s="239"/>
      <c r="Q9" s="239"/>
      <c r="R9" s="240"/>
      <c r="S9" s="240"/>
      <c r="T9" s="240"/>
      <c r="U9" s="241"/>
    </row>
    <row r="10" spans="1:21" ht="17.25" customHeight="1" x14ac:dyDescent="0.25">
      <c r="A10" s="244"/>
      <c r="B10" s="245"/>
      <c r="C10" s="244"/>
      <c r="D10" s="246"/>
      <c r="E10" s="242"/>
      <c r="F10" s="242"/>
      <c r="G10" s="242"/>
      <c r="H10" s="242"/>
      <c r="I10" s="242"/>
      <c r="J10" s="242"/>
      <c r="K10" s="242"/>
      <c r="L10" s="242"/>
      <c r="M10" s="242"/>
      <c r="N10" s="242"/>
      <c r="O10" s="242"/>
      <c r="P10" s="242"/>
      <c r="Q10" s="242"/>
      <c r="R10" s="242"/>
      <c r="S10" s="242"/>
      <c r="T10" s="242"/>
      <c r="U10" s="243"/>
    </row>
    <row r="11" spans="1:21" ht="17.25" customHeight="1" x14ac:dyDescent="0.25">
      <c r="A11" s="244"/>
      <c r="B11" s="106" t="s">
        <v>78</v>
      </c>
      <c r="C11" s="106" t="s">
        <v>79</v>
      </c>
      <c r="D11" s="246"/>
      <c r="E11" s="242"/>
      <c r="F11" s="242"/>
      <c r="G11" s="242"/>
      <c r="H11" s="242"/>
      <c r="I11" s="242"/>
      <c r="J11" s="242"/>
      <c r="K11" s="242"/>
      <c r="L11" s="242"/>
      <c r="M11" s="242"/>
      <c r="N11" s="242"/>
      <c r="O11" s="242"/>
      <c r="P11" s="242"/>
      <c r="Q11" s="242"/>
      <c r="R11" s="242"/>
      <c r="S11" s="242"/>
      <c r="T11" s="242"/>
      <c r="U11" s="243"/>
    </row>
    <row r="12" spans="1:21" x14ac:dyDescent="0.25">
      <c r="A12" s="242"/>
      <c r="B12" s="107" t="s">
        <v>80</v>
      </c>
      <c r="C12" s="108">
        <f>'Sensitivity analysis'!C5</f>
        <v>0.1</v>
      </c>
      <c r="D12" s="242"/>
      <c r="E12" s="242"/>
      <c r="F12" s="242"/>
      <c r="G12" s="242"/>
      <c r="H12" s="242"/>
      <c r="I12" s="242"/>
      <c r="J12" s="242"/>
      <c r="K12" s="242"/>
      <c r="L12" s="242"/>
      <c r="M12" s="242"/>
      <c r="N12" s="242"/>
      <c r="O12" s="242"/>
      <c r="P12" s="242"/>
      <c r="Q12" s="242"/>
      <c r="R12" s="242"/>
      <c r="S12" s="242"/>
      <c r="T12" s="242"/>
      <c r="U12" s="243"/>
    </row>
    <row r="13" spans="1:21" x14ac:dyDescent="0.25">
      <c r="A13" s="242"/>
      <c r="B13" s="109"/>
      <c r="C13" s="109"/>
      <c r="D13" s="242"/>
      <c r="E13" s="242"/>
      <c r="F13" s="242"/>
      <c r="G13" s="242"/>
      <c r="H13" s="242"/>
      <c r="I13" s="242"/>
      <c r="J13" s="242"/>
      <c r="K13" s="242"/>
      <c r="L13" s="242"/>
      <c r="M13" s="242"/>
      <c r="N13" s="242"/>
      <c r="O13" s="242"/>
      <c r="P13" s="242"/>
      <c r="Q13" s="242"/>
      <c r="R13" s="242"/>
      <c r="S13" s="242"/>
      <c r="T13" s="242"/>
      <c r="U13" s="243"/>
    </row>
    <row r="14" spans="1:21" x14ac:dyDescent="0.25">
      <c r="A14" s="242"/>
      <c r="B14" s="151" t="s">
        <v>81</v>
      </c>
      <c r="C14" s="242"/>
      <c r="D14" s="242"/>
      <c r="E14" s="242"/>
      <c r="F14" s="242"/>
      <c r="G14" s="242"/>
      <c r="H14" s="242"/>
      <c r="I14" s="242"/>
      <c r="J14" s="242"/>
      <c r="K14" s="242"/>
      <c r="L14" s="242"/>
      <c r="M14" s="242"/>
      <c r="N14" s="242"/>
      <c r="O14" s="242"/>
      <c r="P14" s="242"/>
      <c r="Q14" s="242"/>
      <c r="R14" s="242"/>
      <c r="S14" s="242"/>
      <c r="T14" s="242"/>
      <c r="U14" s="243"/>
    </row>
    <row r="15" spans="1:21" x14ac:dyDescent="0.25">
      <c r="A15" s="242"/>
      <c r="B15" s="151"/>
      <c r="C15" s="242"/>
      <c r="D15" s="242"/>
      <c r="E15" s="242"/>
      <c r="F15" s="242"/>
      <c r="G15" s="242"/>
      <c r="H15" s="242"/>
      <c r="I15" s="242"/>
      <c r="J15" s="242"/>
      <c r="K15" s="242"/>
      <c r="L15" s="242"/>
      <c r="M15" s="242"/>
      <c r="N15" s="242"/>
      <c r="O15" s="242"/>
      <c r="P15" s="242"/>
      <c r="Q15" s="242"/>
      <c r="R15" s="242"/>
      <c r="S15" s="242"/>
      <c r="T15" s="242"/>
      <c r="U15" s="243"/>
    </row>
    <row r="16" spans="1:21" x14ac:dyDescent="0.25">
      <c r="A16" s="242"/>
      <c r="B16" s="361" t="s">
        <v>82</v>
      </c>
      <c r="C16" s="362"/>
      <c r="D16" s="362"/>
      <c r="E16" s="362"/>
      <c r="F16" s="242"/>
      <c r="G16" s="242"/>
      <c r="H16" s="153" t="s">
        <v>83</v>
      </c>
      <c r="I16" s="242"/>
      <c r="J16" s="242"/>
      <c r="K16" s="242"/>
      <c r="L16" s="242"/>
      <c r="M16" s="242"/>
      <c r="N16" s="242"/>
      <c r="O16" s="242"/>
      <c r="P16" s="242"/>
      <c r="Q16" s="242"/>
      <c r="R16" s="242"/>
      <c r="S16" s="242"/>
      <c r="T16" s="242"/>
      <c r="U16" s="243"/>
    </row>
    <row r="17" spans="1:21" x14ac:dyDescent="0.25">
      <c r="A17" s="242"/>
      <c r="B17" s="106" t="s">
        <v>84</v>
      </c>
      <c r="C17" s="106" t="s">
        <v>79</v>
      </c>
      <c r="D17" s="106" t="s">
        <v>85</v>
      </c>
      <c r="E17" s="106" t="s">
        <v>86</v>
      </c>
      <c r="G17" s="242"/>
      <c r="H17" s="106" t="s">
        <v>84</v>
      </c>
      <c r="I17" s="106" t="s">
        <v>79</v>
      </c>
      <c r="J17" s="106" t="s">
        <v>85</v>
      </c>
      <c r="K17" s="106" t="s">
        <v>86</v>
      </c>
      <c r="M17" s="242"/>
      <c r="N17" s="242"/>
      <c r="O17" s="242"/>
      <c r="P17" s="242"/>
      <c r="Q17" s="242"/>
      <c r="R17" s="242"/>
      <c r="S17" s="242"/>
      <c r="T17" s="242"/>
      <c r="U17" s="243"/>
    </row>
    <row r="18" spans="1:21" x14ac:dyDescent="0.25">
      <c r="A18" s="242"/>
      <c r="B18" s="107" t="s">
        <v>87</v>
      </c>
      <c r="C18" s="113">
        <v>0.65</v>
      </c>
      <c r="D18" s="110" t="s">
        <v>88</v>
      </c>
      <c r="E18" s="124"/>
      <c r="G18" s="242"/>
      <c r="H18" s="107" t="s">
        <v>89</v>
      </c>
      <c r="I18" s="113">
        <f>1/2.471</f>
        <v>0.40469445568595708</v>
      </c>
      <c r="J18" s="107" t="s">
        <v>90</v>
      </c>
      <c r="K18" s="107"/>
      <c r="L18" s="109"/>
      <c r="M18" s="242"/>
      <c r="N18" s="242"/>
      <c r="O18" s="242"/>
      <c r="P18" s="242"/>
      <c r="Q18" s="242"/>
      <c r="R18" s="242"/>
      <c r="S18" s="242"/>
      <c r="T18" s="242"/>
      <c r="U18" s="243"/>
    </row>
    <row r="19" spans="1:21" x14ac:dyDescent="0.25">
      <c r="A19" s="242"/>
      <c r="B19" s="107" t="s">
        <v>91</v>
      </c>
      <c r="C19" s="114">
        <f>265*2.471</f>
        <v>654.81500000000005</v>
      </c>
      <c r="D19" s="110" t="s">
        <v>92</v>
      </c>
      <c r="E19" s="110" t="s">
        <v>93</v>
      </c>
      <c r="G19" s="242"/>
      <c r="H19" s="107" t="s">
        <v>91</v>
      </c>
      <c r="I19" s="114">
        <f>140*2.471</f>
        <v>345.94</v>
      </c>
      <c r="J19" s="107"/>
      <c r="K19" s="107"/>
      <c r="L19" s="109"/>
      <c r="M19" s="242"/>
      <c r="N19" s="242"/>
      <c r="O19" s="242"/>
      <c r="P19" s="242"/>
      <c r="Q19" s="242"/>
      <c r="R19" s="242"/>
      <c r="S19" s="242"/>
      <c r="T19" s="242"/>
      <c r="U19" s="243"/>
    </row>
    <row r="20" spans="1:21" x14ac:dyDescent="0.25">
      <c r="A20" s="242"/>
      <c r="B20" s="107" t="s">
        <v>94</v>
      </c>
      <c r="C20" s="114">
        <f>0.9/0.4</f>
        <v>2.25</v>
      </c>
      <c r="D20" s="111" t="s">
        <v>95</v>
      </c>
      <c r="E20" s="110" t="s">
        <v>96</v>
      </c>
      <c r="G20" s="242"/>
      <c r="H20" s="107" t="s">
        <v>97</v>
      </c>
      <c r="I20" s="107"/>
      <c r="J20" s="107"/>
      <c r="K20" s="107"/>
      <c r="L20" s="109"/>
      <c r="M20" s="242"/>
      <c r="N20" s="242"/>
      <c r="O20" s="242"/>
      <c r="P20" s="242"/>
      <c r="Q20" s="242"/>
      <c r="R20" s="242"/>
      <c r="S20" s="242"/>
      <c r="T20" s="242"/>
      <c r="U20" s="243"/>
    </row>
    <row r="21" spans="1:21" x14ac:dyDescent="0.25">
      <c r="A21" s="242"/>
      <c r="B21" s="107" t="s">
        <v>98</v>
      </c>
      <c r="C21" s="115">
        <f>C20*0.65</f>
        <v>1.4625000000000001</v>
      </c>
      <c r="D21" s="110" t="s">
        <v>99</v>
      </c>
      <c r="E21" s="110" t="s">
        <v>100</v>
      </c>
      <c r="G21" s="242"/>
      <c r="H21" s="107"/>
      <c r="I21" s="107"/>
      <c r="J21" s="107"/>
      <c r="K21" s="107"/>
      <c r="L21" s="109"/>
      <c r="M21" s="242"/>
      <c r="N21" s="242"/>
      <c r="O21" s="242"/>
      <c r="P21" s="242"/>
      <c r="Q21" s="242"/>
      <c r="R21" s="242"/>
      <c r="S21" s="242"/>
      <c r="T21" s="242"/>
      <c r="U21" s="243"/>
    </row>
    <row r="22" spans="1:21" x14ac:dyDescent="0.25">
      <c r="A22" s="242"/>
      <c r="B22" s="107" t="s">
        <v>101</v>
      </c>
      <c r="C22" s="135">
        <f>(C20+C21)*C19*C18</f>
        <v>1580.1504468750004</v>
      </c>
      <c r="D22" s="110"/>
      <c r="E22" s="110"/>
      <c r="G22" s="242"/>
      <c r="H22" s="107" t="s">
        <v>101</v>
      </c>
      <c r="I22" s="135">
        <f>(C20+C21)*I19*I18</f>
        <v>519.75</v>
      </c>
      <c r="J22" s="107"/>
      <c r="K22" s="107"/>
      <c r="L22" s="109"/>
      <c r="M22" s="242"/>
      <c r="N22" s="242"/>
      <c r="O22" s="242"/>
      <c r="P22" s="242"/>
      <c r="Q22" s="242"/>
      <c r="R22" s="242"/>
      <c r="S22" s="242"/>
      <c r="T22" s="242"/>
      <c r="U22" s="243"/>
    </row>
    <row r="23" spans="1:21" x14ac:dyDescent="0.25">
      <c r="A23" s="242"/>
      <c r="B23" s="107" t="s">
        <v>102</v>
      </c>
      <c r="C23" s="114">
        <f>46/(Input!G$94/Input!$F$94)</f>
        <v>43.599305276089211</v>
      </c>
      <c r="D23" s="110" t="s">
        <v>103</v>
      </c>
      <c r="E23" s="110" t="s">
        <v>104</v>
      </c>
      <c r="G23" s="242"/>
      <c r="H23" s="124" t="s">
        <v>105</v>
      </c>
      <c r="I23" s="248"/>
      <c r="J23" s="249"/>
      <c r="K23" s="118"/>
      <c r="L23" s="242"/>
      <c r="M23" s="242"/>
      <c r="N23" s="242"/>
      <c r="O23" s="242"/>
      <c r="P23" s="242"/>
      <c r="Q23" s="242"/>
      <c r="R23" s="242"/>
      <c r="S23" s="242"/>
      <c r="T23" s="242"/>
      <c r="U23" s="243"/>
    </row>
    <row r="24" spans="1:21" x14ac:dyDescent="0.25">
      <c r="A24" s="242"/>
      <c r="B24" s="107" t="s">
        <v>106</v>
      </c>
      <c r="C24" s="114">
        <f>130488/(Input!G$94/Input!$F$94)</f>
        <v>123677.95971448541</v>
      </c>
      <c r="D24" s="110" t="s">
        <v>99</v>
      </c>
      <c r="E24" s="110" t="s">
        <v>107</v>
      </c>
      <c r="G24" s="242"/>
      <c r="H24" s="242" t="s">
        <v>105</v>
      </c>
      <c r="I24" s="250"/>
      <c r="J24" s="251"/>
      <c r="K24" s="85"/>
      <c r="L24" s="242"/>
      <c r="M24" s="242"/>
      <c r="N24" s="242"/>
      <c r="O24" s="242"/>
      <c r="P24" s="242"/>
      <c r="Q24" s="242"/>
      <c r="R24" s="242"/>
      <c r="S24" s="242"/>
      <c r="T24" s="242"/>
      <c r="U24" s="243"/>
    </row>
    <row r="25" spans="1:21" x14ac:dyDescent="0.25">
      <c r="A25" s="242"/>
      <c r="B25" s="107" t="s">
        <v>108</v>
      </c>
      <c r="C25" s="108">
        <v>0.04</v>
      </c>
      <c r="D25" s="110" t="s">
        <v>109</v>
      </c>
      <c r="E25" s="110"/>
      <c r="G25" s="242"/>
      <c r="H25" s="242"/>
      <c r="I25" s="250"/>
      <c r="J25" s="251"/>
      <c r="K25" s="85"/>
      <c r="L25" s="242"/>
      <c r="M25" s="242"/>
      <c r="N25" s="242"/>
      <c r="O25" s="242"/>
      <c r="P25" s="242"/>
      <c r="Q25" s="242"/>
      <c r="R25" s="242"/>
      <c r="S25" s="242"/>
      <c r="T25" s="242"/>
      <c r="U25" s="243"/>
    </row>
    <row r="26" spans="1:21" x14ac:dyDescent="0.25">
      <c r="A26" s="242"/>
      <c r="B26" s="107" t="s">
        <v>110</v>
      </c>
      <c r="C26" s="116">
        <f>'Sensitivity analysis'!C9</f>
        <v>0.2</v>
      </c>
      <c r="D26" s="110" t="s">
        <v>111</v>
      </c>
      <c r="E26" s="110" t="s">
        <v>112</v>
      </c>
      <c r="G26" s="242"/>
      <c r="H26" s="242"/>
      <c r="I26" s="252"/>
      <c r="J26" s="251"/>
      <c r="K26" s="85"/>
      <c r="L26" s="242"/>
      <c r="M26" s="242"/>
      <c r="N26" s="242"/>
      <c r="O26" s="242"/>
      <c r="P26" s="242"/>
      <c r="Q26" s="242"/>
      <c r="R26" s="242"/>
      <c r="S26" s="242"/>
      <c r="T26" s="242"/>
      <c r="U26" s="243"/>
    </row>
    <row r="27" spans="1:21" x14ac:dyDescent="0.25">
      <c r="A27" s="242"/>
      <c r="B27" s="107" t="s">
        <v>113</v>
      </c>
      <c r="C27" s="116">
        <f>'Sensitivity analysis'!C11</f>
        <v>0.05</v>
      </c>
      <c r="D27" s="110" t="s">
        <v>111</v>
      </c>
      <c r="E27" s="110"/>
      <c r="G27" s="242"/>
      <c r="H27" s="242"/>
      <c r="I27" s="252"/>
      <c r="J27" s="251"/>
      <c r="K27" s="85"/>
      <c r="L27" s="242"/>
      <c r="M27" s="242"/>
      <c r="N27" s="242"/>
      <c r="O27" s="242"/>
      <c r="P27" s="242"/>
      <c r="Q27" s="242"/>
      <c r="R27" s="242"/>
      <c r="S27" s="242"/>
      <c r="T27" s="242"/>
      <c r="U27" s="243"/>
    </row>
    <row r="28" spans="1:21" x14ac:dyDescent="0.25">
      <c r="A28" s="242"/>
      <c r="B28" s="107" t="s">
        <v>114</v>
      </c>
      <c r="C28" s="116">
        <v>0.2</v>
      </c>
      <c r="D28" s="110" t="s">
        <v>111</v>
      </c>
      <c r="E28" s="110" t="s">
        <v>115</v>
      </c>
      <c r="G28" s="242"/>
      <c r="H28" s="242"/>
      <c r="I28" s="252"/>
      <c r="J28" s="251"/>
      <c r="K28" s="85"/>
      <c r="L28" s="242"/>
      <c r="M28" s="242"/>
      <c r="N28" s="242"/>
      <c r="O28" s="242"/>
      <c r="P28" s="242"/>
      <c r="Q28" s="242"/>
      <c r="R28" s="242"/>
      <c r="S28" s="242"/>
      <c r="T28" s="242"/>
      <c r="U28" s="243"/>
    </row>
    <row r="29" spans="1:21" x14ac:dyDescent="0.25">
      <c r="A29" s="242"/>
      <c r="B29" s="107" t="s">
        <v>116</v>
      </c>
      <c r="C29" s="117">
        <f>'Sensitivity analysis'!C10</f>
        <v>0.05</v>
      </c>
      <c r="D29" s="110" t="s">
        <v>117</v>
      </c>
      <c r="E29" s="110" t="s">
        <v>118</v>
      </c>
      <c r="G29" s="242"/>
      <c r="H29" s="242"/>
      <c r="I29" s="252"/>
      <c r="J29" s="251"/>
      <c r="K29" s="85"/>
      <c r="L29" s="242"/>
      <c r="M29" s="242"/>
      <c r="N29" s="242"/>
      <c r="O29" s="242"/>
      <c r="P29" s="242"/>
      <c r="Q29" s="242"/>
      <c r="R29" s="242"/>
      <c r="S29" s="242"/>
      <c r="T29" s="242"/>
      <c r="U29" s="243"/>
    </row>
    <row r="30" spans="1:21" x14ac:dyDescent="0.25">
      <c r="A30" s="242"/>
      <c r="B30" s="107" t="s">
        <v>119</v>
      </c>
      <c r="C30" s="114">
        <v>6764419</v>
      </c>
      <c r="D30" s="112" t="s">
        <v>120</v>
      </c>
      <c r="E30" s="253" t="s">
        <v>121</v>
      </c>
      <c r="G30" s="242"/>
      <c r="H30" s="242"/>
      <c r="I30" s="252"/>
      <c r="J30" s="251"/>
      <c r="K30" s="85"/>
      <c r="L30" s="242"/>
      <c r="M30" s="242"/>
      <c r="N30" s="242"/>
      <c r="O30" s="242"/>
      <c r="P30" s="242"/>
      <c r="Q30" s="242"/>
      <c r="R30" s="242"/>
      <c r="S30" s="242"/>
      <c r="T30" s="242"/>
      <c r="U30" s="243"/>
    </row>
    <row r="31" spans="1:21" x14ac:dyDescent="0.25">
      <c r="A31" s="242"/>
      <c r="B31" s="242" t="s">
        <v>122</v>
      </c>
      <c r="C31" s="254"/>
      <c r="D31" s="251"/>
      <c r="E31" s="251"/>
      <c r="G31" s="242"/>
      <c r="H31" s="242"/>
      <c r="I31" s="255"/>
      <c r="J31" s="251"/>
      <c r="K31" s="85"/>
      <c r="L31" s="242"/>
      <c r="M31" s="242"/>
      <c r="N31" s="242"/>
      <c r="O31" s="242"/>
      <c r="P31" s="242"/>
      <c r="Q31" s="242"/>
      <c r="R31" s="242"/>
      <c r="S31" s="242"/>
      <c r="T31" s="242"/>
      <c r="U31" s="243"/>
    </row>
    <row r="32" spans="1:21" x14ac:dyDescent="0.25">
      <c r="A32" s="242"/>
      <c r="B32" s="242"/>
      <c r="C32" s="242"/>
      <c r="D32" s="242"/>
      <c r="E32" s="242"/>
      <c r="F32" s="242"/>
      <c r="G32" s="242"/>
      <c r="H32" s="242"/>
      <c r="I32" s="242"/>
      <c r="J32" s="242"/>
      <c r="K32" s="242"/>
      <c r="L32" s="242"/>
      <c r="M32" s="242"/>
      <c r="N32" s="242"/>
      <c r="O32" s="242"/>
      <c r="P32" s="242"/>
      <c r="Q32" s="242"/>
      <c r="R32" s="242"/>
      <c r="S32" s="242"/>
      <c r="T32" s="242"/>
      <c r="U32" s="243"/>
    </row>
    <row r="33" spans="1:21" x14ac:dyDescent="0.25">
      <c r="A33" s="242"/>
      <c r="B33" s="153" t="s">
        <v>123</v>
      </c>
      <c r="C33" s="242"/>
      <c r="D33" s="242"/>
      <c r="E33" s="242"/>
      <c r="F33" s="242"/>
      <c r="G33" s="242"/>
      <c r="H33" s="153" t="s">
        <v>124</v>
      </c>
      <c r="I33" s="242"/>
      <c r="J33" s="242"/>
      <c r="K33" s="242"/>
      <c r="L33" s="242"/>
      <c r="M33" s="242"/>
      <c r="N33" s="242"/>
      <c r="O33" s="242"/>
      <c r="P33" s="242"/>
      <c r="Q33" s="242"/>
      <c r="R33" s="242"/>
      <c r="S33" s="242"/>
      <c r="T33" s="242"/>
      <c r="U33" s="243"/>
    </row>
    <row r="34" spans="1:21" x14ac:dyDescent="0.25">
      <c r="A34" s="242"/>
      <c r="B34" s="106" t="s">
        <v>84</v>
      </c>
      <c r="C34" s="106" t="s">
        <v>79</v>
      </c>
      <c r="D34" s="106" t="s">
        <v>85</v>
      </c>
      <c r="E34" s="106" t="s">
        <v>86</v>
      </c>
      <c r="G34" s="242"/>
      <c r="H34" s="106" t="s">
        <v>84</v>
      </c>
      <c r="I34" s="106" t="s">
        <v>79</v>
      </c>
      <c r="J34" s="106" t="s">
        <v>85</v>
      </c>
      <c r="K34" s="106" t="s">
        <v>86</v>
      </c>
      <c r="M34" s="242"/>
      <c r="N34" s="242"/>
      <c r="O34" s="242"/>
      <c r="P34" s="242"/>
      <c r="Q34" s="242"/>
      <c r="R34" s="242"/>
      <c r="S34" s="242"/>
      <c r="T34" s="242"/>
      <c r="U34" s="243"/>
    </row>
    <row r="35" spans="1:21" x14ac:dyDescent="0.25">
      <c r="A35" s="242"/>
      <c r="B35" s="107" t="s">
        <v>125</v>
      </c>
      <c r="C35" s="119">
        <v>0.16</v>
      </c>
      <c r="D35" s="110" t="s">
        <v>126</v>
      </c>
      <c r="E35" s="110"/>
      <c r="G35" s="242"/>
      <c r="H35" s="107" t="s">
        <v>125</v>
      </c>
      <c r="I35" s="119">
        <f>0.5/2.4107</f>
        <v>0.20740863649562369</v>
      </c>
      <c r="J35" s="110" t="s">
        <v>127</v>
      </c>
      <c r="K35" s="110"/>
      <c r="M35" s="242"/>
      <c r="N35" s="242"/>
      <c r="O35" s="242"/>
      <c r="P35" s="242"/>
      <c r="Q35" s="242"/>
      <c r="R35" s="242"/>
      <c r="S35" s="242"/>
      <c r="T35" s="242"/>
      <c r="U35" s="243"/>
    </row>
    <row r="36" spans="1:21" x14ac:dyDescent="0.25">
      <c r="A36" s="242"/>
      <c r="B36" s="107" t="s">
        <v>128</v>
      </c>
      <c r="C36" s="114">
        <f>200*2.47105*2</f>
        <v>988.42</v>
      </c>
      <c r="D36" s="110" t="s">
        <v>126</v>
      </c>
      <c r="E36" s="110" t="s">
        <v>129</v>
      </c>
      <c r="G36" s="242"/>
      <c r="H36" s="242"/>
      <c r="I36" s="242"/>
      <c r="J36" s="242"/>
      <c r="K36" s="242"/>
      <c r="L36" s="242"/>
      <c r="M36" s="242"/>
      <c r="N36" s="242"/>
      <c r="O36" s="242"/>
      <c r="P36" s="242"/>
      <c r="Q36" s="242"/>
      <c r="R36" s="242"/>
      <c r="S36" s="242"/>
      <c r="T36" s="242"/>
      <c r="U36" s="243"/>
    </row>
    <row r="37" spans="1:21" x14ac:dyDescent="0.25">
      <c r="A37" s="242"/>
      <c r="B37" s="107" t="s">
        <v>130</v>
      </c>
      <c r="C37" s="114">
        <f>1037.68/(Input!G$94/Input!$F$94)/Input!E100</f>
        <v>3693295.1639122474</v>
      </c>
      <c r="D37" s="110" t="s">
        <v>126</v>
      </c>
      <c r="E37" s="110"/>
      <c r="G37" s="242"/>
      <c r="H37" s="242"/>
      <c r="I37" s="242"/>
      <c r="J37" s="242"/>
      <c r="K37" s="242"/>
      <c r="L37" s="242"/>
      <c r="M37" s="242"/>
      <c r="N37" s="242"/>
      <c r="O37" s="242"/>
      <c r="P37" s="242"/>
      <c r="Q37" s="242"/>
      <c r="R37" s="242"/>
      <c r="S37" s="242"/>
      <c r="T37" s="242"/>
      <c r="U37" s="243"/>
    </row>
    <row r="38" spans="1:21" x14ac:dyDescent="0.25">
      <c r="A38" s="242"/>
      <c r="B38" s="107" t="s">
        <v>131</v>
      </c>
      <c r="C38" s="120">
        <v>3500</v>
      </c>
      <c r="D38" s="110" t="s">
        <v>126</v>
      </c>
      <c r="E38" s="110"/>
      <c r="G38" s="242"/>
      <c r="H38" s="242"/>
      <c r="I38" s="154"/>
      <c r="J38" s="251"/>
      <c r="K38" s="242"/>
      <c r="L38" s="242"/>
      <c r="M38" s="242"/>
      <c r="N38" s="242"/>
      <c r="O38" s="242"/>
      <c r="P38" s="242"/>
      <c r="Q38" s="242"/>
      <c r="R38" s="242"/>
      <c r="S38" s="242"/>
      <c r="T38" s="242"/>
      <c r="U38" s="243"/>
    </row>
    <row r="39" spans="1:21" x14ac:dyDescent="0.25">
      <c r="A39" s="242"/>
      <c r="B39" s="107" t="s">
        <v>132</v>
      </c>
      <c r="C39" s="113">
        <f>2.47105/C35</f>
        <v>15.444062499999999</v>
      </c>
      <c r="D39" s="110" t="s">
        <v>126</v>
      </c>
      <c r="E39" s="110" t="s">
        <v>133</v>
      </c>
      <c r="G39" s="242"/>
      <c r="H39" s="256"/>
      <c r="I39" s="257"/>
      <c r="J39" s="247"/>
      <c r="K39" s="242"/>
      <c r="L39" s="242"/>
      <c r="M39" s="242"/>
      <c r="N39" s="242"/>
      <c r="O39" s="242"/>
      <c r="P39" s="242"/>
      <c r="Q39" s="242"/>
      <c r="R39" s="242"/>
      <c r="S39" s="242"/>
      <c r="T39" s="242"/>
      <c r="U39" s="243"/>
    </row>
    <row r="40" spans="1:21" x14ac:dyDescent="0.25">
      <c r="A40" s="242"/>
      <c r="B40" s="107" t="s">
        <v>134</v>
      </c>
      <c r="C40" s="114">
        <f>436.55/(Input!G94/Input!F94)/Input!E100</f>
        <v>1553762.2425081835</v>
      </c>
      <c r="D40" s="110" t="s">
        <v>135</v>
      </c>
      <c r="E40" s="110"/>
      <c r="G40" s="242"/>
      <c r="H40" s="256"/>
      <c r="I40" s="257"/>
      <c r="J40" s="247"/>
      <c r="K40" s="242"/>
      <c r="L40" s="242"/>
      <c r="M40" s="242"/>
      <c r="N40" s="242"/>
      <c r="O40" s="242"/>
      <c r="P40" s="242"/>
      <c r="Q40" s="242"/>
      <c r="R40" s="242"/>
      <c r="S40" s="242"/>
      <c r="T40" s="242"/>
      <c r="U40" s="243"/>
    </row>
    <row r="41" spans="1:21" x14ac:dyDescent="0.25">
      <c r="A41" s="242"/>
      <c r="B41" s="107" t="s">
        <v>136</v>
      </c>
      <c r="C41" s="121">
        <v>0.1</v>
      </c>
      <c r="D41" s="123" t="s">
        <v>111</v>
      </c>
      <c r="E41" s="123" t="s">
        <v>137</v>
      </c>
      <c r="G41" s="242"/>
      <c r="H41" s="251"/>
      <c r="I41" s="257"/>
      <c r="J41" s="247"/>
      <c r="K41" s="242"/>
      <c r="L41" s="242"/>
      <c r="M41" s="242"/>
      <c r="N41" s="242"/>
      <c r="O41" s="242"/>
      <c r="P41" s="242"/>
      <c r="Q41" s="242"/>
      <c r="R41" s="242"/>
      <c r="S41" s="242"/>
      <c r="T41" s="242"/>
      <c r="U41" s="243"/>
    </row>
    <row r="42" spans="1:21" x14ac:dyDescent="0.25">
      <c r="A42" s="242"/>
      <c r="B42" s="107" t="s">
        <v>138</v>
      </c>
      <c r="C42" s="122">
        <f>589.24/(Input!G94/Input!F94)/Input!E100</f>
        <v>2097214.2109163254</v>
      </c>
      <c r="D42" s="110" t="s">
        <v>135</v>
      </c>
      <c r="E42" s="123" t="s">
        <v>139</v>
      </c>
      <c r="G42" s="242"/>
      <c r="H42" s="251"/>
      <c r="I42" s="257"/>
      <c r="J42" s="247"/>
      <c r="K42" s="242"/>
      <c r="L42" s="242"/>
      <c r="M42" s="242"/>
      <c r="N42" s="242"/>
      <c r="O42" s="242"/>
      <c r="P42" s="242"/>
      <c r="Q42" s="242"/>
      <c r="R42" s="242"/>
      <c r="S42" s="242"/>
      <c r="T42" s="242"/>
      <c r="U42" s="243"/>
    </row>
    <row r="43" spans="1:21" x14ac:dyDescent="0.25">
      <c r="A43" s="242"/>
      <c r="B43" s="242"/>
      <c r="C43" s="242"/>
      <c r="D43" s="242"/>
      <c r="E43" s="242"/>
      <c r="F43" s="242"/>
      <c r="G43" s="242"/>
      <c r="H43" s="242"/>
      <c r="I43" s="242"/>
      <c r="J43" s="242"/>
      <c r="K43" s="242"/>
      <c r="L43" s="242"/>
      <c r="M43" s="242"/>
      <c r="N43" s="242"/>
      <c r="O43" s="242"/>
      <c r="P43" s="242"/>
      <c r="Q43" s="242"/>
      <c r="R43" s="242"/>
      <c r="S43" s="242"/>
      <c r="T43" s="242"/>
      <c r="U43" s="243"/>
    </row>
    <row r="44" spans="1:21" x14ac:dyDescent="0.25">
      <c r="A44" s="242"/>
      <c r="B44" s="153" t="s">
        <v>60</v>
      </c>
      <c r="C44" s="258"/>
      <c r="D44" s="259"/>
      <c r="E44" s="85"/>
      <c r="F44" s="259"/>
      <c r="G44" s="242"/>
      <c r="H44" s="251"/>
      <c r="I44" s="257"/>
      <c r="J44" s="247"/>
      <c r="K44" s="242"/>
      <c r="L44" s="242"/>
      <c r="M44" s="242"/>
      <c r="N44" s="242"/>
      <c r="O44" s="242"/>
      <c r="P44" s="242"/>
      <c r="Q44" s="242"/>
      <c r="R44" s="242"/>
      <c r="S44" s="242"/>
      <c r="T44" s="242"/>
      <c r="U44" s="243"/>
    </row>
    <row r="45" spans="1:21" x14ac:dyDescent="0.25">
      <c r="A45" s="242"/>
      <c r="B45" s="106" t="s">
        <v>84</v>
      </c>
      <c r="C45" s="106" t="s">
        <v>79</v>
      </c>
      <c r="D45" s="106" t="s">
        <v>85</v>
      </c>
      <c r="E45" s="106" t="s">
        <v>86</v>
      </c>
      <c r="G45" s="242"/>
      <c r="H45" s="251"/>
      <c r="I45" s="257"/>
      <c r="J45" s="247"/>
      <c r="K45" s="242"/>
      <c r="L45" s="242"/>
      <c r="M45" s="242"/>
      <c r="N45" s="242"/>
      <c r="O45" s="242"/>
      <c r="P45" s="242"/>
      <c r="Q45" s="242"/>
      <c r="R45" s="242"/>
      <c r="S45" s="242"/>
      <c r="T45" s="242"/>
      <c r="U45" s="243"/>
    </row>
    <row r="46" spans="1:21" x14ac:dyDescent="0.25">
      <c r="A46" s="242"/>
      <c r="B46" s="107" t="s">
        <v>140</v>
      </c>
      <c r="C46" s="113">
        <v>3.5</v>
      </c>
      <c r="D46" s="123" t="s">
        <v>141</v>
      </c>
      <c r="E46" s="123" t="s">
        <v>142</v>
      </c>
      <c r="G46" s="242"/>
      <c r="H46" s="251"/>
      <c r="I46" s="257"/>
      <c r="J46" s="247"/>
      <c r="K46" s="242"/>
      <c r="L46" s="242"/>
      <c r="M46" s="242"/>
      <c r="N46" s="242"/>
      <c r="O46" s="242"/>
      <c r="P46" s="242"/>
      <c r="Q46" s="242"/>
      <c r="R46" s="242"/>
      <c r="S46" s="242"/>
      <c r="T46" s="242"/>
      <c r="U46" s="243"/>
    </row>
    <row r="47" spans="1:21" x14ac:dyDescent="0.25">
      <c r="A47" s="242"/>
      <c r="B47" s="107" t="s">
        <v>143</v>
      </c>
      <c r="C47" s="116">
        <f>'Sensitivity analysis'!C12</f>
        <v>0.35</v>
      </c>
      <c r="D47" s="249" t="s">
        <v>111</v>
      </c>
      <c r="E47" s="249" t="s">
        <v>144</v>
      </c>
      <c r="G47" s="242"/>
      <c r="H47" s="251"/>
      <c r="I47" s="257"/>
      <c r="J47" s="247"/>
      <c r="K47" s="242"/>
      <c r="L47" s="242"/>
      <c r="M47" s="242"/>
      <c r="N47" s="242"/>
      <c r="O47" s="242"/>
      <c r="P47" s="242"/>
      <c r="Q47" s="242"/>
      <c r="R47" s="242"/>
      <c r="S47" s="242"/>
      <c r="T47" s="242"/>
      <c r="U47" s="243"/>
    </row>
    <row r="48" spans="1:21" x14ac:dyDescent="0.25">
      <c r="A48" s="242"/>
      <c r="B48" s="107" t="s">
        <v>145</v>
      </c>
      <c r="C48" s="116">
        <v>0.1</v>
      </c>
      <c r="D48" s="123" t="s">
        <v>111</v>
      </c>
      <c r="E48" s="123" t="s">
        <v>146</v>
      </c>
      <c r="G48" s="260"/>
      <c r="H48" s="251"/>
      <c r="I48" s="257"/>
      <c r="J48" s="247"/>
      <c r="K48" s="242"/>
      <c r="L48" s="242"/>
      <c r="M48" s="242"/>
      <c r="N48" s="242"/>
      <c r="O48" s="242"/>
      <c r="P48" s="242"/>
      <c r="Q48" s="242"/>
      <c r="R48" s="242"/>
      <c r="S48" s="242"/>
      <c r="T48" s="242"/>
      <c r="U48" s="243"/>
    </row>
    <row r="49" spans="1:21" x14ac:dyDescent="0.25">
      <c r="A49" s="242"/>
      <c r="B49" s="107" t="s">
        <v>147</v>
      </c>
      <c r="C49" s="120">
        <v>10000</v>
      </c>
      <c r="D49" s="249" t="s">
        <v>148</v>
      </c>
      <c r="E49" s="249" t="s">
        <v>149</v>
      </c>
      <c r="G49" s="260"/>
      <c r="H49" s="251"/>
      <c r="I49" s="257"/>
      <c r="J49" s="247"/>
      <c r="K49" s="242"/>
      <c r="L49" s="242"/>
      <c r="M49" s="242"/>
      <c r="N49" s="242"/>
      <c r="O49" s="242"/>
      <c r="P49" s="242"/>
      <c r="Q49" s="242"/>
      <c r="R49" s="242"/>
      <c r="S49" s="242"/>
      <c r="T49" s="242"/>
      <c r="U49" s="243"/>
    </row>
    <row r="50" spans="1:21" x14ac:dyDescent="0.25">
      <c r="A50" s="242"/>
      <c r="B50" s="107" t="s">
        <v>150</v>
      </c>
      <c r="C50" s="120">
        <f>4600</f>
        <v>4600</v>
      </c>
      <c r="D50" s="123" t="s">
        <v>148</v>
      </c>
      <c r="E50" s="123" t="s">
        <v>151</v>
      </c>
      <c r="G50" s="260"/>
      <c r="H50" s="251"/>
      <c r="I50" s="257"/>
      <c r="J50" s="247"/>
      <c r="K50" s="242"/>
      <c r="L50" s="242"/>
      <c r="M50" s="242"/>
      <c r="N50" s="242"/>
      <c r="O50" s="242"/>
      <c r="P50" s="242"/>
      <c r="Q50" s="242"/>
      <c r="R50" s="242"/>
      <c r="S50" s="242"/>
      <c r="T50" s="242"/>
      <c r="U50" s="243"/>
    </row>
    <row r="51" spans="1:21" x14ac:dyDescent="0.25">
      <c r="A51" s="242"/>
      <c r="B51" s="107" t="s">
        <v>152</v>
      </c>
      <c r="C51" s="120">
        <v>2200</v>
      </c>
      <c r="D51" s="249" t="s">
        <v>148</v>
      </c>
      <c r="E51" s="249"/>
      <c r="G51" s="260"/>
      <c r="H51" s="261"/>
      <c r="I51" s="257"/>
      <c r="J51" s="247"/>
      <c r="K51" s="242"/>
      <c r="L51" s="242"/>
      <c r="M51" s="242"/>
      <c r="N51" s="242"/>
      <c r="O51" s="242"/>
      <c r="P51" s="242"/>
      <c r="Q51" s="242"/>
      <c r="R51" s="242"/>
      <c r="S51" s="242"/>
      <c r="T51" s="242"/>
      <c r="U51" s="243"/>
    </row>
    <row r="52" spans="1:21" x14ac:dyDescent="0.25">
      <c r="A52" s="242"/>
      <c r="B52" s="242"/>
      <c r="C52" s="242"/>
      <c r="D52" s="242"/>
      <c r="E52" s="242"/>
      <c r="F52" s="242"/>
      <c r="G52" s="242"/>
      <c r="H52" s="242"/>
      <c r="I52" s="242"/>
      <c r="J52" s="242"/>
      <c r="K52" s="242"/>
      <c r="L52" s="242"/>
      <c r="M52" s="242"/>
      <c r="N52" s="242"/>
      <c r="O52" s="242"/>
      <c r="P52" s="242"/>
      <c r="Q52" s="242"/>
      <c r="R52" s="242"/>
      <c r="S52" s="242"/>
      <c r="T52" s="242"/>
      <c r="U52" s="243"/>
    </row>
    <row r="53" spans="1:21" x14ac:dyDescent="0.25">
      <c r="A53" s="242"/>
      <c r="B53" s="153" t="s">
        <v>61</v>
      </c>
      <c r="C53" s="258"/>
      <c r="D53" s="259"/>
      <c r="E53" s="85"/>
      <c r="F53" s="259"/>
      <c r="G53" s="260"/>
      <c r="H53" s="261"/>
      <c r="I53" s="257"/>
      <c r="J53" s="247"/>
      <c r="K53" s="242"/>
      <c r="L53" s="242"/>
      <c r="M53" s="242"/>
      <c r="N53" s="242"/>
      <c r="O53" s="242"/>
      <c r="P53" s="242"/>
      <c r="Q53" s="242"/>
      <c r="R53" s="242"/>
      <c r="S53" s="242"/>
      <c r="T53" s="242"/>
      <c r="U53" s="243"/>
    </row>
    <row r="54" spans="1:21" x14ac:dyDescent="0.25">
      <c r="A54" s="242"/>
      <c r="B54" s="106" t="s">
        <v>84</v>
      </c>
      <c r="C54" s="106" t="s">
        <v>79</v>
      </c>
      <c r="D54" s="106" t="s">
        <v>85</v>
      </c>
      <c r="E54" s="106" t="s">
        <v>86</v>
      </c>
      <c r="G54" s="260"/>
      <c r="H54" s="261"/>
      <c r="I54" s="257"/>
      <c r="J54" s="247"/>
      <c r="K54" s="242"/>
      <c r="L54" s="242"/>
      <c r="M54" s="242"/>
      <c r="N54" s="242"/>
      <c r="O54" s="242"/>
      <c r="P54" s="242"/>
      <c r="Q54" s="242"/>
      <c r="R54" s="242"/>
      <c r="S54" s="242"/>
      <c r="T54" s="242"/>
      <c r="U54" s="243"/>
    </row>
    <row r="55" spans="1:21" x14ac:dyDescent="0.25">
      <c r="A55" s="242"/>
      <c r="B55" s="107" t="s">
        <v>153</v>
      </c>
      <c r="C55" s="114">
        <v>40</v>
      </c>
      <c r="D55" s="124" t="s">
        <v>154</v>
      </c>
      <c r="E55" s="123"/>
      <c r="G55" s="260"/>
      <c r="H55" s="261"/>
      <c r="I55" s="257"/>
      <c r="J55" s="247"/>
      <c r="K55" s="242"/>
      <c r="L55" s="242"/>
      <c r="M55" s="242"/>
      <c r="N55" s="242"/>
      <c r="O55" s="242"/>
      <c r="P55" s="242"/>
      <c r="Q55" s="242"/>
      <c r="R55" s="242"/>
      <c r="S55" s="242"/>
      <c r="T55" s="242"/>
      <c r="U55" s="243"/>
    </row>
    <row r="56" spans="1:21" x14ac:dyDescent="0.25">
      <c r="A56" s="242"/>
      <c r="B56" s="107" t="s">
        <v>155</v>
      </c>
      <c r="C56" s="116">
        <v>0.9</v>
      </c>
      <c r="D56" s="123" t="s">
        <v>156</v>
      </c>
      <c r="E56" s="123"/>
      <c r="G56" s="260"/>
      <c r="H56" s="261"/>
      <c r="I56" s="257"/>
      <c r="J56" s="247"/>
      <c r="K56" s="242"/>
      <c r="L56" s="242"/>
      <c r="M56" s="242"/>
      <c r="N56" s="242"/>
      <c r="O56" s="242"/>
      <c r="P56" s="242"/>
      <c r="Q56" s="242"/>
      <c r="R56" s="242"/>
      <c r="S56" s="242"/>
      <c r="T56" s="242"/>
      <c r="U56" s="243"/>
    </row>
    <row r="57" spans="1:21" x14ac:dyDescent="0.25">
      <c r="A57" s="242"/>
      <c r="B57" s="107" t="s">
        <v>157</v>
      </c>
      <c r="C57" s="116">
        <f>'Sensitivity analysis'!C13</f>
        <v>0.35</v>
      </c>
      <c r="D57" s="123" t="s">
        <v>111</v>
      </c>
      <c r="E57" s="110" t="s">
        <v>144</v>
      </c>
      <c r="G57" s="260"/>
      <c r="H57" s="261"/>
      <c r="I57" s="257"/>
      <c r="J57" s="247"/>
      <c r="K57" s="242"/>
      <c r="L57" s="242"/>
      <c r="M57" s="242"/>
      <c r="N57" s="242"/>
      <c r="O57" s="242"/>
      <c r="P57" s="242"/>
      <c r="Q57" s="242"/>
      <c r="R57" s="242"/>
      <c r="S57" s="242"/>
      <c r="T57" s="242"/>
      <c r="U57" s="243"/>
    </row>
    <row r="58" spans="1:21" x14ac:dyDescent="0.25">
      <c r="A58" s="242"/>
      <c r="B58" s="107" t="s">
        <v>158</v>
      </c>
      <c r="C58" s="120">
        <f>382/(Input!G94/Input!F94)</f>
        <v>362.063795988393</v>
      </c>
      <c r="D58" s="123" t="s">
        <v>159</v>
      </c>
      <c r="E58" s="110"/>
      <c r="G58" s="260"/>
      <c r="H58" s="261"/>
      <c r="I58" s="257"/>
      <c r="J58" s="247"/>
      <c r="K58" s="242"/>
      <c r="L58" s="242"/>
      <c r="M58" s="242"/>
      <c r="N58" s="242"/>
      <c r="O58" s="242"/>
      <c r="P58" s="242"/>
      <c r="Q58" s="242"/>
      <c r="R58" s="242"/>
      <c r="S58" s="242"/>
      <c r="T58" s="242"/>
      <c r="U58" s="243"/>
    </row>
    <row r="59" spans="1:21" x14ac:dyDescent="0.25">
      <c r="A59" s="242"/>
      <c r="B59" s="107" t="s">
        <v>160</v>
      </c>
      <c r="C59" s="120">
        <f>47634/(Input!G94/Input!F94)/(1+Input!C12)^11</f>
        <v>15824.108536355803</v>
      </c>
      <c r="D59" s="123" t="s">
        <v>161</v>
      </c>
      <c r="E59" s="110" t="s">
        <v>162</v>
      </c>
      <c r="G59" s="260"/>
      <c r="H59" s="261"/>
      <c r="I59" s="257"/>
      <c r="J59" s="247"/>
      <c r="K59" s="242"/>
      <c r="L59" s="242"/>
      <c r="M59" s="242"/>
      <c r="N59" s="242"/>
      <c r="O59" s="242"/>
      <c r="P59" s="242"/>
      <c r="Q59" s="242"/>
      <c r="R59" s="242"/>
      <c r="S59" s="242"/>
      <c r="T59" s="242"/>
      <c r="U59" s="243"/>
    </row>
    <row r="60" spans="1:21" x14ac:dyDescent="0.25">
      <c r="A60" s="242"/>
      <c r="B60" s="107" t="s">
        <v>163</v>
      </c>
      <c r="C60" s="120">
        <f>71069/(Input!G95/Input!F95)/(1+C106)^11</f>
        <v>69445.839816636057</v>
      </c>
      <c r="D60" s="123" t="s">
        <v>161</v>
      </c>
      <c r="E60" s="110" t="s">
        <v>162</v>
      </c>
      <c r="G60" s="260"/>
      <c r="H60" s="261"/>
      <c r="I60" s="257"/>
      <c r="J60" s="247"/>
      <c r="K60" s="242"/>
      <c r="L60" s="242"/>
      <c r="M60" s="242"/>
      <c r="N60" s="242"/>
      <c r="O60" s="242"/>
      <c r="P60" s="242"/>
      <c r="Q60" s="242"/>
      <c r="R60" s="242"/>
      <c r="S60" s="242"/>
      <c r="T60" s="242"/>
      <c r="U60" s="243"/>
    </row>
    <row r="61" spans="1:21" x14ac:dyDescent="0.25">
      <c r="A61" s="242"/>
      <c r="B61" s="107" t="s">
        <v>164</v>
      </c>
      <c r="C61" s="120">
        <f>0.11*28.51*3400</f>
        <v>10662.740000000002</v>
      </c>
      <c r="D61" s="123" t="s">
        <v>161</v>
      </c>
      <c r="E61" s="110" t="s">
        <v>165</v>
      </c>
      <c r="G61" s="260"/>
      <c r="H61" s="261"/>
      <c r="I61" s="257"/>
      <c r="J61" s="247"/>
      <c r="K61" s="242"/>
      <c r="L61" s="242"/>
      <c r="M61" s="242"/>
      <c r="N61" s="242"/>
      <c r="O61" s="242"/>
      <c r="P61" s="242"/>
      <c r="Q61" s="242"/>
      <c r="R61" s="242"/>
      <c r="S61" s="242"/>
      <c r="T61" s="242"/>
      <c r="U61" s="243"/>
    </row>
    <row r="62" spans="1:21" ht="8.4499999999999993" customHeight="1" x14ac:dyDescent="0.25">
      <c r="A62" s="242"/>
      <c r="B62" s="242"/>
      <c r="C62" s="242"/>
      <c r="D62" s="242"/>
      <c r="E62" s="242"/>
      <c r="G62" s="242"/>
      <c r="H62" s="242"/>
      <c r="I62" s="242"/>
      <c r="J62" s="242"/>
      <c r="K62" s="242"/>
      <c r="L62" s="242"/>
      <c r="M62" s="242"/>
      <c r="N62" s="242"/>
      <c r="O62" s="242"/>
      <c r="P62" s="242"/>
      <c r="Q62" s="242"/>
      <c r="R62" s="242"/>
      <c r="S62" s="242"/>
      <c r="T62" s="242"/>
      <c r="U62" s="243"/>
    </row>
    <row r="63" spans="1:21" ht="8.4499999999999993" customHeight="1" x14ac:dyDescent="0.25">
      <c r="A63" s="242"/>
      <c r="E63" s="251"/>
      <c r="G63" s="242"/>
      <c r="H63" s="242"/>
      <c r="I63" s="242"/>
      <c r="J63" s="242"/>
      <c r="K63" s="242"/>
      <c r="L63" s="242"/>
      <c r="M63" s="242"/>
      <c r="N63" s="242"/>
      <c r="O63" s="242"/>
      <c r="P63" s="242"/>
      <c r="Q63" s="242"/>
      <c r="R63" s="242"/>
      <c r="S63" s="242"/>
      <c r="T63" s="242"/>
      <c r="U63" s="243"/>
    </row>
    <row r="64" spans="1:21" x14ac:dyDescent="0.25">
      <c r="A64" s="242"/>
      <c r="B64" s="262" t="s">
        <v>166</v>
      </c>
      <c r="C64" s="242"/>
      <c r="D64" s="242"/>
      <c r="E64" s="242"/>
      <c r="F64" s="242"/>
      <c r="G64" s="242"/>
      <c r="H64" s="242"/>
      <c r="I64" s="242"/>
      <c r="J64" s="242"/>
      <c r="K64" s="242"/>
      <c r="L64" s="242"/>
      <c r="M64" s="242"/>
      <c r="N64" s="242"/>
      <c r="O64" s="242"/>
      <c r="P64" s="242"/>
      <c r="Q64" s="242"/>
      <c r="R64" s="242"/>
      <c r="S64" s="242"/>
      <c r="T64" s="242"/>
      <c r="U64" s="243"/>
    </row>
    <row r="65" spans="1:23" x14ac:dyDescent="0.25">
      <c r="A65" s="242"/>
      <c r="B65" s="125" t="s">
        <v>167</v>
      </c>
      <c r="C65" s="106">
        <v>2021</v>
      </c>
      <c r="D65" s="106">
        <v>2022</v>
      </c>
      <c r="E65" s="106">
        <v>2023</v>
      </c>
      <c r="F65" s="106">
        <v>2024</v>
      </c>
      <c r="G65" s="106">
        <v>2025</v>
      </c>
      <c r="H65" s="106">
        <v>2026</v>
      </c>
      <c r="I65" s="106">
        <v>2027</v>
      </c>
      <c r="J65" s="106">
        <v>2028</v>
      </c>
      <c r="K65" s="106">
        <v>2029</v>
      </c>
      <c r="L65" s="106">
        <v>2030</v>
      </c>
      <c r="M65" s="106">
        <v>2031</v>
      </c>
      <c r="N65" s="106">
        <v>2032</v>
      </c>
      <c r="O65" s="106">
        <v>2033</v>
      </c>
      <c r="P65" s="106">
        <v>2034</v>
      </c>
      <c r="Q65" s="106">
        <v>2035</v>
      </c>
      <c r="R65" s="106">
        <v>2036</v>
      </c>
      <c r="S65" s="106">
        <v>2037</v>
      </c>
      <c r="T65" s="106">
        <v>2038</v>
      </c>
      <c r="U65" s="106" t="s">
        <v>85</v>
      </c>
    </row>
    <row r="66" spans="1:23" ht="14.45" customHeight="1" x14ac:dyDescent="0.25">
      <c r="A66" s="242"/>
      <c r="B66" s="107" t="s">
        <v>168</v>
      </c>
      <c r="C66" s="132">
        <v>833</v>
      </c>
      <c r="D66" s="132">
        <v>1096</v>
      </c>
      <c r="E66" s="132">
        <v>1368</v>
      </c>
      <c r="F66" s="132">
        <v>2033</v>
      </c>
      <c r="G66" s="132">
        <v>2500</v>
      </c>
      <c r="H66" s="263">
        <f>H67*(H$94/$F$94)</f>
        <v>2141.9481982697316</v>
      </c>
      <c r="I66" s="263">
        <f>I67*(I$94/$F$94)</f>
        <v>2243.6977695724336</v>
      </c>
      <c r="J66" s="263">
        <f>J67*(J$94/$F$94)</f>
        <v>2339.7497110672862</v>
      </c>
      <c r="K66" s="263">
        <f t="shared" ref="K66:S66" si="0">K67*(K$94/$F$94)</f>
        <v>2339.7497110672862</v>
      </c>
      <c r="L66" s="263">
        <f t="shared" si="0"/>
        <v>2562.9237069838441</v>
      </c>
      <c r="M66" s="263">
        <f t="shared" si="0"/>
        <v>2680.8181975051011</v>
      </c>
      <c r="N66" s="263">
        <f t="shared" si="0"/>
        <v>2804.1358345903354</v>
      </c>
      <c r="O66" s="263">
        <f t="shared" si="0"/>
        <v>2933.126082981491</v>
      </c>
      <c r="P66" s="263">
        <f t="shared" si="0"/>
        <v>3068.0498827986394</v>
      </c>
      <c r="Q66" s="263">
        <f t="shared" si="0"/>
        <v>3209.1801774073774</v>
      </c>
      <c r="R66" s="263">
        <f t="shared" si="0"/>
        <v>3356.8024655681165</v>
      </c>
      <c r="S66" s="263">
        <f t="shared" si="0"/>
        <v>3511.2153789842496</v>
      </c>
      <c r="T66" s="263">
        <f>T67*(T$94/$F$94)</f>
        <v>3672.7312864175251</v>
      </c>
      <c r="U66" s="209" t="s">
        <v>169</v>
      </c>
    </row>
    <row r="67" spans="1:23" ht="15.75" thickBot="1" x14ac:dyDescent="0.3">
      <c r="A67" s="242"/>
      <c r="B67" s="127" t="s">
        <v>170</v>
      </c>
      <c r="C67" s="264">
        <f>C66/(C$94/$F$94)</f>
        <v>970.36480306829935</v>
      </c>
      <c r="D67" s="264">
        <f>D66/(D$94/$F$94)</f>
        <v>1193.7132843304291</v>
      </c>
      <c r="E67" s="264">
        <f>E66/(E$94/$F$94)</f>
        <v>1406.7614670466037</v>
      </c>
      <c r="F67" s="264">
        <f>F66/(F$94/$F$94)</f>
        <v>2033</v>
      </c>
      <c r="G67" s="264">
        <f>G66/(G$94/$F$94)</f>
        <v>2369.5274606570224</v>
      </c>
      <c r="H67" s="265">
        <f>AVERAGE(E67:G67)*(1+'Sensitivity analysis'!$C$6)</f>
        <v>1936.4296425678756</v>
      </c>
      <c r="I67" s="265">
        <f>H67*(1+'Sensitivity analysis'!$C$6)</f>
        <v>1936.4296425678756</v>
      </c>
      <c r="J67" s="265">
        <f>I67*(1+'Sensitivity analysis'!$C$6)</f>
        <v>1936.4296425678756</v>
      </c>
      <c r="K67" s="265">
        <f>J67*(1+'Sensitivity analysis'!$C$6)</f>
        <v>1936.4296425678756</v>
      </c>
      <c r="L67" s="265">
        <f>K67*(1+'Sensitivity analysis'!$C$6)</f>
        <v>1936.4296425678756</v>
      </c>
      <c r="M67" s="265">
        <f>L67*(1+'Sensitivity analysis'!$C$6)</f>
        <v>1936.4296425678756</v>
      </c>
      <c r="N67" s="265">
        <f>M67*(1+'Sensitivity analysis'!$C$6)</f>
        <v>1936.4296425678756</v>
      </c>
      <c r="O67" s="265">
        <f>N67*(1+'Sensitivity analysis'!$C$6)</f>
        <v>1936.4296425678756</v>
      </c>
      <c r="P67" s="265">
        <f>O67*(1+'Sensitivity analysis'!$C$6)</f>
        <v>1936.4296425678756</v>
      </c>
      <c r="Q67" s="265">
        <f>P67*(1+'Sensitivity analysis'!$C$6)</f>
        <v>1936.4296425678756</v>
      </c>
      <c r="R67" s="265">
        <f>Q67*(1+'Sensitivity analysis'!$C$6)</f>
        <v>1936.4296425678756</v>
      </c>
      <c r="S67" s="265">
        <f>R67*(1+'Sensitivity analysis'!$C$6)</f>
        <v>1936.4296425678756</v>
      </c>
      <c r="T67" s="265">
        <f>S67*(1+'Sensitivity analysis'!$C$6)</f>
        <v>1936.4296425678756</v>
      </c>
      <c r="U67" s="210" t="s">
        <v>171</v>
      </c>
    </row>
    <row r="68" spans="1:23" x14ac:dyDescent="0.25">
      <c r="A68" s="242"/>
      <c r="B68" s="128" t="s">
        <v>172</v>
      </c>
      <c r="C68" s="266"/>
      <c r="D68" s="266"/>
      <c r="E68" s="267">
        <f t="shared" ref="E68:T68" si="1">E69*(E$94/$F$94)</f>
        <v>4862.231558247111</v>
      </c>
      <c r="F68" s="267">
        <f t="shared" si="1"/>
        <v>5000</v>
      </c>
      <c r="G68" s="267">
        <f t="shared" si="1"/>
        <v>5275.3134148249128</v>
      </c>
      <c r="H68" s="268">
        <f t="shared" si="1"/>
        <v>5530.6636274926068</v>
      </c>
      <c r="I68" s="268">
        <f t="shared" si="1"/>
        <v>5793.3883066288263</v>
      </c>
      <c r="J68" s="268">
        <f t="shared" si="1"/>
        <v>6041.4012976081403</v>
      </c>
      <c r="K68" s="268">
        <f t="shared" si="1"/>
        <v>6041.4012976081403</v>
      </c>
      <c r="L68" s="268">
        <f t="shared" si="1"/>
        <v>6617.6525359970792</v>
      </c>
      <c r="M68" s="268">
        <f t="shared" si="1"/>
        <v>6922.0645526529461</v>
      </c>
      <c r="N68" s="268">
        <f t="shared" si="1"/>
        <v>7240.4795220749811</v>
      </c>
      <c r="O68" s="268">
        <f t="shared" si="1"/>
        <v>7573.5415800904293</v>
      </c>
      <c r="P68" s="268">
        <f t="shared" si="1"/>
        <v>7921.9244927745895</v>
      </c>
      <c r="Q68" s="268">
        <f t="shared" si="1"/>
        <v>8286.3330194422215</v>
      </c>
      <c r="R68" s="268">
        <f t="shared" si="1"/>
        <v>8667.5043383365628</v>
      </c>
      <c r="S68" s="268">
        <f t="shared" si="1"/>
        <v>9066.2095379000457</v>
      </c>
      <c r="T68" s="268">
        <f t="shared" si="1"/>
        <v>9483.2551766434462</v>
      </c>
      <c r="U68" s="129" t="s">
        <v>173</v>
      </c>
    </row>
    <row r="69" spans="1:23" ht="15.75" thickBot="1" x14ac:dyDescent="0.3">
      <c r="A69" s="242"/>
      <c r="B69" s="127" t="s">
        <v>174</v>
      </c>
      <c r="C69" s="269"/>
      <c r="D69" s="269"/>
      <c r="E69" s="133">
        <v>5000</v>
      </c>
      <c r="F69" s="270">
        <f t="shared" ref="F69:T69" si="2">$E$69</f>
        <v>5000</v>
      </c>
      <c r="G69" s="270">
        <f t="shared" si="2"/>
        <v>5000</v>
      </c>
      <c r="H69" s="271">
        <f t="shared" si="2"/>
        <v>5000</v>
      </c>
      <c r="I69" s="271">
        <f t="shared" si="2"/>
        <v>5000</v>
      </c>
      <c r="J69" s="271">
        <f t="shared" si="2"/>
        <v>5000</v>
      </c>
      <c r="K69" s="271">
        <f t="shared" si="2"/>
        <v>5000</v>
      </c>
      <c r="L69" s="271">
        <f t="shared" si="2"/>
        <v>5000</v>
      </c>
      <c r="M69" s="271">
        <f t="shared" si="2"/>
        <v>5000</v>
      </c>
      <c r="N69" s="271">
        <f t="shared" si="2"/>
        <v>5000</v>
      </c>
      <c r="O69" s="271">
        <f t="shared" si="2"/>
        <v>5000</v>
      </c>
      <c r="P69" s="271">
        <f t="shared" si="2"/>
        <v>5000</v>
      </c>
      <c r="Q69" s="271">
        <f t="shared" si="2"/>
        <v>5000</v>
      </c>
      <c r="R69" s="271">
        <f t="shared" si="2"/>
        <v>5000</v>
      </c>
      <c r="S69" s="271">
        <f t="shared" si="2"/>
        <v>5000</v>
      </c>
      <c r="T69" s="271">
        <f t="shared" si="2"/>
        <v>5000</v>
      </c>
      <c r="U69" s="130" t="s">
        <v>175</v>
      </c>
    </row>
    <row r="70" spans="1:23" x14ac:dyDescent="0.25">
      <c r="A70" s="242"/>
      <c r="B70" s="128" t="s">
        <v>176</v>
      </c>
      <c r="C70" s="266"/>
      <c r="D70" s="266"/>
      <c r="E70" s="266">
        <f>1700*0.6</f>
        <v>1020</v>
      </c>
      <c r="F70" s="267">
        <f>1164*0.6</f>
        <v>698.4</v>
      </c>
      <c r="G70" s="267">
        <f>1535*0.6</f>
        <v>921</v>
      </c>
      <c r="H70" s="272">
        <f t="shared" ref="H70:T70" si="3">H71*(H$94/$F$94)</f>
        <v>966.10923115079174</v>
      </c>
      <c r="I70" s="272">
        <f t="shared" si="3"/>
        <v>1012.0025913079531</v>
      </c>
      <c r="J70" s="272">
        <f t="shared" si="3"/>
        <v>1055.3260794404364</v>
      </c>
      <c r="K70" s="272">
        <f t="shared" si="3"/>
        <v>1055.3260794404364</v>
      </c>
      <c r="L70" s="272">
        <f t="shared" si="3"/>
        <v>1155.9869907463058</v>
      </c>
      <c r="M70" s="272">
        <f t="shared" si="3"/>
        <v>1209.1623923206357</v>
      </c>
      <c r="N70" s="272">
        <f t="shared" si="3"/>
        <v>1264.7838623673849</v>
      </c>
      <c r="O70" s="272">
        <f t="shared" si="3"/>
        <v>1322.9639200362847</v>
      </c>
      <c r="P70" s="272">
        <f t="shared" si="3"/>
        <v>1383.8202603579537</v>
      </c>
      <c r="Q70" s="272">
        <f t="shared" si="3"/>
        <v>1447.4759923344197</v>
      </c>
      <c r="R70" s="272">
        <f t="shared" si="3"/>
        <v>1514.0598879818031</v>
      </c>
      <c r="S70" s="272">
        <f t="shared" si="3"/>
        <v>1583.7066428289659</v>
      </c>
      <c r="T70" s="272">
        <f t="shared" si="3"/>
        <v>1656.5571483990984</v>
      </c>
      <c r="U70" s="359" t="s">
        <v>177</v>
      </c>
    </row>
    <row r="71" spans="1:23" ht="15.75" thickBot="1" x14ac:dyDescent="0.3">
      <c r="A71" s="242"/>
      <c r="B71" s="127" t="s">
        <v>178</v>
      </c>
      <c r="C71" s="269"/>
      <c r="D71" s="269"/>
      <c r="E71" s="269">
        <f>E70/(E$94/$F$94)</f>
        <v>1048.9010938505378</v>
      </c>
      <c r="F71" s="269">
        <f>F70/(F$94/$F$94)</f>
        <v>698.4</v>
      </c>
      <c r="G71" s="269">
        <f>G70/(G$94/$F$94)</f>
        <v>872.93391650604701</v>
      </c>
      <c r="H71" s="271">
        <f>AVERAGE(E71:G71)</f>
        <v>873.41167011886148</v>
      </c>
      <c r="I71" s="271">
        <f t="shared" ref="I71:T71" si="4">$H$71</f>
        <v>873.41167011886148</v>
      </c>
      <c r="J71" s="271">
        <f t="shared" si="4"/>
        <v>873.41167011886148</v>
      </c>
      <c r="K71" s="271">
        <f t="shared" si="4"/>
        <v>873.41167011886148</v>
      </c>
      <c r="L71" s="271">
        <f t="shared" si="4"/>
        <v>873.41167011886148</v>
      </c>
      <c r="M71" s="271">
        <f t="shared" si="4"/>
        <v>873.41167011886148</v>
      </c>
      <c r="N71" s="271">
        <f t="shared" si="4"/>
        <v>873.41167011886148</v>
      </c>
      <c r="O71" s="271">
        <f t="shared" si="4"/>
        <v>873.41167011886148</v>
      </c>
      <c r="P71" s="271">
        <f t="shared" si="4"/>
        <v>873.41167011886148</v>
      </c>
      <c r="Q71" s="271">
        <f t="shared" si="4"/>
        <v>873.41167011886148</v>
      </c>
      <c r="R71" s="271">
        <f t="shared" si="4"/>
        <v>873.41167011886148</v>
      </c>
      <c r="S71" s="271">
        <f t="shared" si="4"/>
        <v>873.41167011886148</v>
      </c>
      <c r="T71" s="271">
        <f t="shared" si="4"/>
        <v>873.41167011886148</v>
      </c>
      <c r="U71" s="360"/>
    </row>
    <row r="72" spans="1:23" x14ac:dyDescent="0.25">
      <c r="A72" s="242"/>
      <c r="B72" s="126" t="s">
        <v>179</v>
      </c>
      <c r="C72" s="273"/>
      <c r="D72" s="273"/>
      <c r="E72" s="273"/>
      <c r="F72" s="273">
        <f t="shared" ref="F72:T72" si="5">F73*(F$94/$F$94)</f>
        <v>4000</v>
      </c>
      <c r="G72" s="274">
        <f t="shared" si="5"/>
        <v>4220.2507318599301</v>
      </c>
      <c r="H72" s="274">
        <f t="shared" si="5"/>
        <v>4424.5309019940851</v>
      </c>
      <c r="I72" s="274">
        <f t="shared" si="5"/>
        <v>4634.710645303061</v>
      </c>
      <c r="J72" s="274">
        <f t="shared" si="5"/>
        <v>4833.1210380865123</v>
      </c>
      <c r="K72" s="274">
        <f t="shared" si="5"/>
        <v>4833.1210380865123</v>
      </c>
      <c r="L72" s="274">
        <f t="shared" si="5"/>
        <v>5294.1220287976639</v>
      </c>
      <c r="M72" s="274">
        <f t="shared" si="5"/>
        <v>5537.6516421223569</v>
      </c>
      <c r="N72" s="274">
        <f t="shared" si="5"/>
        <v>5792.3836176599843</v>
      </c>
      <c r="O72" s="274">
        <f t="shared" si="5"/>
        <v>6058.8332640723438</v>
      </c>
      <c r="P72" s="274">
        <f t="shared" si="5"/>
        <v>6337.539594219671</v>
      </c>
      <c r="Q72" s="274">
        <f t="shared" si="5"/>
        <v>6629.066415553777</v>
      </c>
      <c r="R72" s="274">
        <f t="shared" si="5"/>
        <v>6934.0034706692504</v>
      </c>
      <c r="S72" s="274">
        <f t="shared" si="5"/>
        <v>7252.9676303200358</v>
      </c>
      <c r="T72" s="274">
        <f t="shared" si="5"/>
        <v>7586.6041413147577</v>
      </c>
      <c r="U72" s="131" t="s">
        <v>180</v>
      </c>
    </row>
    <row r="73" spans="1:23" x14ac:dyDescent="0.25">
      <c r="A73" s="242"/>
      <c r="B73" s="107" t="s">
        <v>181</v>
      </c>
      <c r="C73" s="275"/>
      <c r="D73" s="275"/>
      <c r="E73" s="275"/>
      <c r="F73" s="120">
        <v>4000</v>
      </c>
      <c r="G73" s="263">
        <f t="shared" ref="G73:T73" si="6">$F$73</f>
        <v>4000</v>
      </c>
      <c r="H73" s="263">
        <f t="shared" si="6"/>
        <v>4000</v>
      </c>
      <c r="I73" s="263">
        <f t="shared" si="6"/>
        <v>4000</v>
      </c>
      <c r="J73" s="263">
        <f t="shared" si="6"/>
        <v>4000</v>
      </c>
      <c r="K73" s="263">
        <f t="shared" si="6"/>
        <v>4000</v>
      </c>
      <c r="L73" s="263">
        <f t="shared" si="6"/>
        <v>4000</v>
      </c>
      <c r="M73" s="263">
        <f t="shared" si="6"/>
        <v>4000</v>
      </c>
      <c r="N73" s="263">
        <f t="shared" si="6"/>
        <v>4000</v>
      </c>
      <c r="O73" s="263">
        <f t="shared" si="6"/>
        <v>4000</v>
      </c>
      <c r="P73" s="263">
        <f t="shared" si="6"/>
        <v>4000</v>
      </c>
      <c r="Q73" s="263">
        <f t="shared" si="6"/>
        <v>4000</v>
      </c>
      <c r="R73" s="263">
        <f t="shared" si="6"/>
        <v>4000</v>
      </c>
      <c r="S73" s="263">
        <f t="shared" si="6"/>
        <v>4000</v>
      </c>
      <c r="T73" s="263">
        <f t="shared" si="6"/>
        <v>4000</v>
      </c>
      <c r="U73" s="123" t="s">
        <v>182</v>
      </c>
    </row>
    <row r="74" spans="1:23" x14ac:dyDescent="0.25">
      <c r="A74" s="242"/>
      <c r="B74" s="109"/>
      <c r="C74" s="276"/>
      <c r="D74" s="276"/>
      <c r="E74" s="276"/>
      <c r="F74" s="276"/>
      <c r="G74" s="276"/>
      <c r="H74" s="276"/>
      <c r="I74" s="276"/>
      <c r="J74" s="276"/>
      <c r="K74" s="276"/>
      <c r="L74" s="276"/>
      <c r="M74" s="276"/>
      <c r="N74" s="276"/>
      <c r="O74" s="276"/>
      <c r="P74" s="276"/>
      <c r="Q74" s="276"/>
      <c r="R74" s="276"/>
      <c r="S74" s="276"/>
      <c r="T74" s="276"/>
      <c r="U74" s="277"/>
      <c r="V74" s="276"/>
      <c r="W74" s="276"/>
    </row>
    <row r="75" spans="1:23" x14ac:dyDescent="0.25">
      <c r="A75" s="242"/>
      <c r="B75" s="106" t="s">
        <v>84</v>
      </c>
      <c r="C75" s="106" t="s">
        <v>79</v>
      </c>
      <c r="D75" s="106" t="s">
        <v>85</v>
      </c>
      <c r="E75" s="276"/>
      <c r="F75" s="278"/>
      <c r="G75" s="276"/>
      <c r="H75" s="276"/>
      <c r="I75" s="276"/>
      <c r="J75" s="276"/>
      <c r="K75" s="276"/>
      <c r="L75" s="276"/>
      <c r="M75" s="276"/>
      <c r="N75" s="276"/>
      <c r="O75" s="276"/>
      <c r="P75" s="276"/>
      <c r="Q75" s="276"/>
      <c r="R75" s="276"/>
      <c r="S75" s="276"/>
      <c r="T75" s="276"/>
      <c r="U75" s="155"/>
    </row>
    <row r="76" spans="1:23" ht="14.45" customHeight="1" x14ac:dyDescent="0.25">
      <c r="A76" s="242"/>
      <c r="B76" s="107" t="s">
        <v>183</v>
      </c>
      <c r="C76" s="116">
        <f>'Sensitivity analysis'!C7</f>
        <v>-7.2999999999999995E-2</v>
      </c>
      <c r="D76" s="112" t="s">
        <v>184</v>
      </c>
      <c r="F76" s="278"/>
      <c r="G76" s="276"/>
      <c r="H76" s="276"/>
      <c r="I76" s="276"/>
      <c r="J76" s="276"/>
      <c r="K76" s="276"/>
      <c r="L76" s="276"/>
      <c r="M76" s="276"/>
      <c r="N76" s="276"/>
      <c r="O76" s="276"/>
      <c r="P76" s="276"/>
      <c r="Q76" s="276"/>
      <c r="R76" s="276"/>
      <c r="S76" s="276"/>
      <c r="T76" s="276"/>
      <c r="U76" s="155"/>
    </row>
    <row r="77" spans="1:23" ht="7.9" customHeight="1" x14ac:dyDescent="0.25">
      <c r="A77" s="242"/>
      <c r="B77" s="109"/>
      <c r="C77" s="156"/>
      <c r="D77" s="156"/>
      <c r="E77" s="97"/>
      <c r="F77" s="278"/>
      <c r="G77" s="276"/>
      <c r="H77" s="276"/>
      <c r="I77" s="276"/>
      <c r="J77" s="276"/>
      <c r="K77" s="276"/>
      <c r="L77" s="276"/>
      <c r="M77" s="276"/>
      <c r="N77" s="276"/>
      <c r="O77" s="276"/>
      <c r="P77" s="276"/>
      <c r="Q77" s="276"/>
      <c r="R77" s="276"/>
      <c r="S77" s="276"/>
      <c r="T77" s="276"/>
      <c r="U77" s="155"/>
    </row>
    <row r="78" spans="1:23" ht="9" customHeight="1" x14ac:dyDescent="0.25">
      <c r="A78" s="242"/>
      <c r="B78" s="242"/>
      <c r="C78" s="242"/>
      <c r="D78" s="242"/>
      <c r="E78" s="242"/>
      <c r="F78" s="242"/>
      <c r="G78" s="242"/>
      <c r="H78" s="242"/>
      <c r="I78" s="242"/>
      <c r="J78" s="242"/>
      <c r="K78" s="242"/>
      <c r="L78" s="242"/>
      <c r="M78" s="242"/>
      <c r="N78" s="242"/>
      <c r="O78" s="242"/>
      <c r="P78" s="242"/>
      <c r="Q78" s="242"/>
      <c r="R78" s="242"/>
      <c r="S78" s="242"/>
      <c r="T78" s="242"/>
      <c r="U78" s="243"/>
    </row>
    <row r="79" spans="1:23" x14ac:dyDescent="0.25">
      <c r="A79" s="242"/>
      <c r="B79" s="262" t="s">
        <v>185</v>
      </c>
      <c r="C79" s="242"/>
      <c r="D79" s="242"/>
      <c r="E79" s="242"/>
      <c r="F79" s="242"/>
      <c r="G79" s="242"/>
      <c r="H79" s="153" t="s">
        <v>186</v>
      </c>
      <c r="I79" s="242"/>
      <c r="J79" s="242"/>
      <c r="K79" s="242"/>
      <c r="L79" s="242"/>
      <c r="M79" s="242"/>
      <c r="N79" s="242"/>
      <c r="O79" s="242"/>
      <c r="P79" s="242"/>
      <c r="Q79" s="242"/>
      <c r="R79" s="242"/>
      <c r="S79" s="242"/>
      <c r="T79" s="242"/>
      <c r="U79" s="243"/>
    </row>
    <row r="80" spans="1:23" x14ac:dyDescent="0.25">
      <c r="A80" s="245"/>
      <c r="B80" s="125" t="s">
        <v>187</v>
      </c>
      <c r="C80" s="106">
        <v>2024</v>
      </c>
      <c r="D80" s="106">
        <v>2025</v>
      </c>
      <c r="E80" s="106">
        <v>2026</v>
      </c>
      <c r="F80" s="106">
        <v>2027</v>
      </c>
      <c r="G80" s="242"/>
      <c r="H80" s="125" t="s">
        <v>188</v>
      </c>
      <c r="I80" s="106" t="s">
        <v>189</v>
      </c>
      <c r="J80" s="106" t="s">
        <v>190</v>
      </c>
      <c r="K80" s="242"/>
      <c r="L80" s="242"/>
      <c r="M80" s="242"/>
      <c r="N80" s="242"/>
      <c r="O80" s="242"/>
      <c r="P80" s="242"/>
      <c r="Q80" s="242"/>
      <c r="R80" s="242"/>
      <c r="S80" s="242"/>
      <c r="T80" s="242"/>
      <c r="U80" s="243"/>
    </row>
    <row r="81" spans="1:21" x14ac:dyDescent="0.25">
      <c r="A81" s="245"/>
      <c r="B81" s="107" t="s">
        <v>191</v>
      </c>
      <c r="C81" s="132">
        <v>0</v>
      </c>
      <c r="D81" s="132">
        <f>7500*0.97</f>
        <v>7275</v>
      </c>
      <c r="E81" s="132">
        <f>15000*0.97</f>
        <v>14550</v>
      </c>
      <c r="F81" s="132">
        <f>30000*0.97</f>
        <v>29100</v>
      </c>
      <c r="G81" s="242"/>
      <c r="H81" s="107">
        <v>1</v>
      </c>
      <c r="I81" s="135">
        <f>SROI!G103+SROI!G117</f>
        <v>19157.5</v>
      </c>
      <c r="J81" s="136">
        <f>I81/SUM($I$81:$I$84)</f>
        <v>0.58088235294117652</v>
      </c>
      <c r="K81" s="242"/>
      <c r="L81" s="242"/>
      <c r="M81" s="242"/>
      <c r="N81" s="242"/>
      <c r="O81" s="242"/>
      <c r="P81" s="242"/>
      <c r="Q81" s="242"/>
      <c r="R81" s="242"/>
      <c r="S81" s="242"/>
      <c r="T81" s="242"/>
      <c r="U81" s="243"/>
    </row>
    <row r="82" spans="1:21" x14ac:dyDescent="0.25">
      <c r="A82" s="245"/>
      <c r="B82" s="107" t="s">
        <v>192</v>
      </c>
      <c r="C82" s="279"/>
      <c r="D82" s="279"/>
      <c r="E82" s="279"/>
      <c r="F82" s="279"/>
      <c r="G82" s="242"/>
      <c r="H82" s="107">
        <v>2</v>
      </c>
      <c r="I82" s="135">
        <f>SROI!G104+SROI!G118</f>
        <v>7547.8125</v>
      </c>
      <c r="J82" s="136">
        <f>I82/SUM($I$81:$I$84)</f>
        <v>0.22886029411764705</v>
      </c>
      <c r="K82" s="242"/>
      <c r="L82" s="242"/>
      <c r="M82" s="242"/>
      <c r="N82" s="242"/>
      <c r="O82" s="242"/>
      <c r="P82" s="242"/>
      <c r="Q82" s="242"/>
      <c r="R82" s="242"/>
      <c r="S82" s="242"/>
      <c r="T82" s="242"/>
      <c r="U82" s="243"/>
    </row>
    <row r="83" spans="1:21" x14ac:dyDescent="0.25">
      <c r="A83" s="245"/>
      <c r="B83" s="107" t="s">
        <v>193</v>
      </c>
      <c r="C83" s="132">
        <f>4000*0.97</f>
        <v>3880</v>
      </c>
      <c r="D83" s="132">
        <f>4000*0.97</f>
        <v>3880</v>
      </c>
      <c r="E83" s="132">
        <f>4000*0.97</f>
        <v>3880</v>
      </c>
      <c r="F83" s="132">
        <f>4000*0.97</f>
        <v>3880</v>
      </c>
      <c r="G83" s="242"/>
      <c r="H83" s="107">
        <v>3</v>
      </c>
      <c r="I83" s="135">
        <f>SROI!G105+SROI!G119</f>
        <v>4637.8125</v>
      </c>
      <c r="J83" s="136">
        <f>I83/SUM($I$81:$I$84)</f>
        <v>0.140625</v>
      </c>
      <c r="K83" s="242"/>
      <c r="L83" s="242"/>
      <c r="M83" s="242"/>
      <c r="N83" s="242"/>
      <c r="O83" s="242"/>
      <c r="P83" s="242"/>
      <c r="Q83" s="242"/>
      <c r="R83" s="242"/>
      <c r="S83" s="242"/>
      <c r="T83" s="242"/>
      <c r="U83" s="243"/>
    </row>
    <row r="84" spans="1:21" x14ac:dyDescent="0.25">
      <c r="A84" s="245"/>
      <c r="B84" s="107" t="s">
        <v>194</v>
      </c>
      <c r="C84" s="279"/>
      <c r="D84" s="135"/>
      <c r="E84" s="279"/>
      <c r="F84" s="279"/>
      <c r="G84" s="242"/>
      <c r="H84" s="107">
        <v>4</v>
      </c>
      <c r="I84" s="135">
        <f>SROI!G106+SROI!G120</f>
        <v>1636.875</v>
      </c>
      <c r="J84" s="136">
        <f>I84/SUM($I$81:$I$84)</f>
        <v>4.9632352941176468E-2</v>
      </c>
      <c r="K84" s="242"/>
      <c r="L84" s="242"/>
      <c r="M84" s="242"/>
      <c r="N84" s="242"/>
      <c r="O84" s="242"/>
      <c r="P84" s="242"/>
      <c r="Q84" s="242"/>
      <c r="R84" s="242"/>
      <c r="S84" s="242"/>
      <c r="T84" s="242"/>
      <c r="U84" s="243"/>
    </row>
    <row r="85" spans="1:21" x14ac:dyDescent="0.25">
      <c r="A85" s="245"/>
      <c r="B85" s="107" t="s">
        <v>195</v>
      </c>
      <c r="C85" s="134">
        <f>C81+C83</f>
        <v>3880</v>
      </c>
      <c r="D85" s="135">
        <f>D81+D83</f>
        <v>11155</v>
      </c>
      <c r="E85" s="135">
        <f>E81+E83</f>
        <v>18430</v>
      </c>
      <c r="F85" s="135">
        <f>F81+F83</f>
        <v>32980</v>
      </c>
      <c r="G85" s="242"/>
      <c r="H85" s="107">
        <v>5</v>
      </c>
      <c r="I85" s="135">
        <f>I81+I82+I83+I84</f>
        <v>32980</v>
      </c>
      <c r="J85" s="136">
        <f>I85/SUM($I$81:$I$84)</f>
        <v>1</v>
      </c>
      <c r="K85" s="242"/>
      <c r="L85" s="242"/>
      <c r="M85" s="242"/>
      <c r="N85" s="242"/>
      <c r="O85" s="242"/>
      <c r="P85" s="242"/>
      <c r="Q85" s="242"/>
      <c r="R85" s="242"/>
      <c r="S85" s="242"/>
      <c r="T85" s="242"/>
      <c r="U85" s="243"/>
    </row>
    <row r="86" spans="1:21" x14ac:dyDescent="0.25">
      <c r="A86" s="245"/>
      <c r="B86" s="107" t="s">
        <v>196</v>
      </c>
      <c r="C86" s="279"/>
      <c r="D86" s="135"/>
      <c r="E86" s="135"/>
      <c r="F86" s="280"/>
      <c r="G86" s="242"/>
      <c r="H86" s="107"/>
      <c r="I86" s="135"/>
      <c r="J86" s="136"/>
      <c r="K86" s="242"/>
      <c r="L86" s="242"/>
      <c r="M86" s="242"/>
      <c r="N86" s="242"/>
      <c r="O86" s="242"/>
      <c r="P86" s="242"/>
      <c r="Q86" s="242"/>
      <c r="R86" s="242"/>
      <c r="S86" s="242"/>
      <c r="T86" s="242"/>
      <c r="U86" s="243"/>
    </row>
    <row r="87" spans="1:21" x14ac:dyDescent="0.25">
      <c r="A87" s="245"/>
      <c r="B87" s="107" t="s">
        <v>197</v>
      </c>
      <c r="C87" s="134">
        <f>C85</f>
        <v>3880</v>
      </c>
      <c r="D87" s="135">
        <f>D85-C85</f>
        <v>7275</v>
      </c>
      <c r="E87" s="135">
        <f>E85-D85</f>
        <v>7275</v>
      </c>
      <c r="F87" s="280">
        <f>F85-E85</f>
        <v>14550</v>
      </c>
      <c r="G87" s="242"/>
      <c r="H87" s="281" t="s">
        <v>198</v>
      </c>
      <c r="I87" s="282">
        <f>4*I84+3*I83+2*I82+1*I81</f>
        <v>54714.0625</v>
      </c>
      <c r="J87" s="136"/>
      <c r="K87" s="242"/>
      <c r="L87" s="242"/>
      <c r="M87" s="242"/>
      <c r="N87" s="242"/>
      <c r="O87" s="242"/>
      <c r="P87" s="242"/>
      <c r="Q87" s="242"/>
      <c r="R87" s="242"/>
      <c r="S87" s="242"/>
      <c r="T87" s="242"/>
      <c r="U87" s="243"/>
    </row>
    <row r="88" spans="1:21" x14ac:dyDescent="0.25">
      <c r="U88" s="10"/>
    </row>
    <row r="89" spans="1:21" x14ac:dyDescent="0.25">
      <c r="A89" s="256"/>
      <c r="B89" s="283" t="s">
        <v>199</v>
      </c>
      <c r="C89" s="108">
        <v>0.75</v>
      </c>
      <c r="D89" s="123" t="s">
        <v>200</v>
      </c>
      <c r="E89" s="259"/>
      <c r="F89" s="242"/>
      <c r="G89" s="242"/>
      <c r="K89" s="242"/>
      <c r="L89" s="242"/>
      <c r="M89" s="242"/>
      <c r="N89" s="242"/>
      <c r="O89" s="242"/>
      <c r="P89" s="242"/>
      <c r="Q89" s="242"/>
      <c r="R89" s="242"/>
      <c r="S89" s="242"/>
      <c r="T89" s="242"/>
      <c r="U89" s="243"/>
    </row>
    <row r="90" spans="1:21" ht="9.6" customHeight="1" x14ac:dyDescent="0.25">
      <c r="A90" s="256"/>
      <c r="B90" s="256"/>
      <c r="C90" s="259"/>
      <c r="D90" s="259"/>
      <c r="E90" s="259"/>
      <c r="F90" s="242"/>
      <c r="G90" s="242"/>
      <c r="K90" s="242"/>
      <c r="L90" s="242"/>
      <c r="M90" s="242"/>
      <c r="N90" s="242"/>
      <c r="O90" s="242"/>
      <c r="P90" s="242"/>
      <c r="Q90" s="242"/>
      <c r="R90" s="242"/>
      <c r="S90" s="242"/>
      <c r="T90" s="242"/>
      <c r="U90" s="243"/>
    </row>
    <row r="91" spans="1:21" ht="9.6" customHeight="1" x14ac:dyDescent="0.25">
      <c r="A91" s="242"/>
      <c r="B91" s="242"/>
      <c r="C91" s="242"/>
      <c r="D91" s="242"/>
      <c r="E91" s="242"/>
      <c r="F91" s="242"/>
      <c r="G91" s="242"/>
      <c r="H91" s="242"/>
      <c r="I91" s="242"/>
      <c r="J91" s="242"/>
      <c r="K91" s="242"/>
      <c r="L91" s="242"/>
      <c r="M91" s="242"/>
      <c r="N91" s="242"/>
      <c r="O91" s="242"/>
      <c r="P91" s="242"/>
      <c r="Q91" s="242"/>
      <c r="R91" s="242"/>
      <c r="S91" s="242"/>
      <c r="T91" s="242"/>
      <c r="U91" s="243"/>
    </row>
    <row r="92" spans="1:21" x14ac:dyDescent="0.25">
      <c r="A92" s="242"/>
      <c r="B92" s="262" t="s">
        <v>201</v>
      </c>
      <c r="C92" s="242"/>
      <c r="D92" s="242"/>
      <c r="E92" s="242"/>
      <c r="F92" s="242"/>
      <c r="G92" s="242"/>
      <c r="H92" s="242"/>
      <c r="I92" s="242"/>
      <c r="J92" s="242"/>
      <c r="K92" s="242"/>
      <c r="L92" s="242"/>
      <c r="M92" s="242"/>
      <c r="N92" s="242"/>
      <c r="O92" s="242"/>
      <c r="P92" s="242"/>
      <c r="Q92" s="242"/>
      <c r="R92" s="242"/>
      <c r="S92" s="242"/>
      <c r="T92" s="242"/>
      <c r="U92" s="243"/>
    </row>
    <row r="93" spans="1:21" x14ac:dyDescent="0.25">
      <c r="A93" s="284"/>
      <c r="B93" s="137" t="s">
        <v>167</v>
      </c>
      <c r="C93" s="138">
        <v>2021</v>
      </c>
      <c r="D93" s="138">
        <v>2022</v>
      </c>
      <c r="E93" s="138">
        <v>2023</v>
      </c>
      <c r="F93" s="138">
        <v>2024</v>
      </c>
      <c r="G93" s="138">
        <v>2025</v>
      </c>
      <c r="H93" s="138">
        <v>2026</v>
      </c>
      <c r="I93" s="138">
        <v>2027</v>
      </c>
      <c r="J93" s="138">
        <v>2028</v>
      </c>
      <c r="K93" s="138">
        <v>2029</v>
      </c>
      <c r="L93" s="138">
        <v>2030</v>
      </c>
      <c r="M93" s="138">
        <v>2031</v>
      </c>
      <c r="N93" s="138">
        <v>2032</v>
      </c>
      <c r="O93" s="138">
        <v>2033</v>
      </c>
      <c r="P93" s="138">
        <v>2034</v>
      </c>
      <c r="Q93" s="138">
        <v>2035</v>
      </c>
      <c r="R93" s="138">
        <v>2036</v>
      </c>
      <c r="S93" s="138">
        <v>2037</v>
      </c>
      <c r="T93" s="138">
        <v>2038</v>
      </c>
      <c r="U93" s="138" t="s">
        <v>202</v>
      </c>
    </row>
    <row r="94" spans="1:21" x14ac:dyDescent="0.25">
      <c r="A94" s="284"/>
      <c r="B94" s="139" t="s">
        <v>203</v>
      </c>
      <c r="C94" s="144">
        <v>115.24299999999999</v>
      </c>
      <c r="D94" s="145">
        <v>123.258</v>
      </c>
      <c r="E94" s="145">
        <v>130.548</v>
      </c>
      <c r="F94" s="145">
        <v>134.24700000000001</v>
      </c>
      <c r="G94" s="145">
        <v>141.63900000000001</v>
      </c>
      <c r="H94" s="145">
        <v>148.495</v>
      </c>
      <c r="I94" s="145">
        <v>155.54900000000001</v>
      </c>
      <c r="J94" s="145">
        <v>162.208</v>
      </c>
      <c r="K94" s="145">
        <v>162.208</v>
      </c>
      <c r="L94" s="145">
        <v>177.68</v>
      </c>
      <c r="M94" s="141">
        <f>L94+(L94*0.046)</f>
        <v>185.85328000000001</v>
      </c>
      <c r="N94" s="141">
        <f>M94+(M94*0.046)</f>
        <v>194.40253088</v>
      </c>
      <c r="O94" s="141">
        <f t="shared" ref="O94:P94" si="7">N94+(N94*0.046)</f>
        <v>203.34504730047999</v>
      </c>
      <c r="P94" s="141">
        <f t="shared" si="7"/>
        <v>212.69891947630208</v>
      </c>
      <c r="Q94" s="141">
        <f t="shared" ref="Q94" si="8">P94+(P94*0.046)</f>
        <v>222.48306977221199</v>
      </c>
      <c r="R94" s="141">
        <f t="shared" ref="R94" si="9">Q94+(Q94*0.046)</f>
        <v>232.71729098173375</v>
      </c>
      <c r="S94" s="141">
        <f t="shared" ref="S94" si="10">R94+(R94*0.046)</f>
        <v>243.4222863668935</v>
      </c>
      <c r="T94" s="141">
        <f t="shared" ref="T94" si="11">S94+(S94*0.046)</f>
        <v>254.61971153977061</v>
      </c>
      <c r="U94" s="112" t="s">
        <v>204</v>
      </c>
    </row>
    <row r="95" spans="1:21" x14ac:dyDescent="0.25">
      <c r="A95" s="242"/>
      <c r="B95" s="139" t="s">
        <v>205</v>
      </c>
      <c r="C95" s="144">
        <v>102.694</v>
      </c>
      <c r="D95" s="145">
        <v>109.283</v>
      </c>
      <c r="E95" s="145">
        <v>116.598</v>
      </c>
      <c r="F95" s="145">
        <v>120.224</v>
      </c>
      <c r="G95" s="145">
        <v>123.03400000000001</v>
      </c>
      <c r="H95" s="145">
        <v>125.36199999999999</v>
      </c>
      <c r="I95" s="145">
        <v>127.825</v>
      </c>
      <c r="J95" s="145">
        <v>130.572</v>
      </c>
      <c r="K95" s="145">
        <v>133.40199999999999</v>
      </c>
      <c r="L95" s="145">
        <v>136.36799999999999</v>
      </c>
      <c r="M95" s="142"/>
      <c r="N95" s="140"/>
      <c r="O95" s="140"/>
      <c r="P95" s="140"/>
      <c r="Q95" s="140"/>
      <c r="R95" s="140"/>
      <c r="S95" s="140"/>
      <c r="T95" s="140"/>
      <c r="U95" s="143"/>
    </row>
    <row r="96" spans="1:21" x14ac:dyDescent="0.25">
      <c r="A96" s="242"/>
      <c r="B96" s="146"/>
      <c r="C96" s="146"/>
      <c r="D96" s="146"/>
      <c r="E96" s="146"/>
      <c r="F96" s="146"/>
      <c r="G96" s="146"/>
      <c r="H96" s="146"/>
      <c r="I96" s="146"/>
      <c r="J96" s="146"/>
      <c r="K96" s="146"/>
      <c r="L96" s="146"/>
      <c r="M96" s="147"/>
      <c r="N96" s="148"/>
      <c r="O96" s="148"/>
      <c r="P96" s="148"/>
      <c r="Q96" s="148"/>
      <c r="R96" s="148"/>
      <c r="S96" s="148"/>
      <c r="T96" s="148"/>
      <c r="U96" s="157"/>
    </row>
    <row r="97" spans="1:21" x14ac:dyDescent="0.25">
      <c r="A97" s="242"/>
      <c r="B97" s="262" t="s">
        <v>206</v>
      </c>
      <c r="C97" s="242"/>
      <c r="D97" s="242"/>
      <c r="E97" s="242"/>
      <c r="F97" s="242"/>
      <c r="G97" s="242"/>
      <c r="H97" s="242"/>
      <c r="I97" s="242"/>
      <c r="J97" s="242"/>
      <c r="K97" s="242"/>
      <c r="L97" s="242"/>
      <c r="M97" s="242"/>
      <c r="N97" s="242"/>
      <c r="O97" s="242"/>
      <c r="P97" s="242"/>
      <c r="Q97" s="242"/>
      <c r="R97" s="242"/>
      <c r="S97" s="242"/>
      <c r="T97" s="242"/>
      <c r="U97" s="243"/>
    </row>
    <row r="98" spans="1:21" x14ac:dyDescent="0.25">
      <c r="A98" s="242"/>
      <c r="B98" s="125" t="s">
        <v>167</v>
      </c>
      <c r="C98" s="125"/>
      <c r="D98" s="125">
        <v>2021</v>
      </c>
      <c r="E98" s="125">
        <v>2024</v>
      </c>
      <c r="F98" s="125" t="s">
        <v>85</v>
      </c>
      <c r="G98" s="242"/>
      <c r="H98" s="242"/>
      <c r="I98" s="242"/>
      <c r="J98" s="242"/>
      <c r="K98" s="242"/>
      <c r="L98" s="242"/>
      <c r="M98" s="242"/>
      <c r="N98" s="242"/>
      <c r="O98" s="242"/>
      <c r="P98" s="242"/>
      <c r="Q98" s="242"/>
      <c r="R98" s="242"/>
      <c r="S98" s="242"/>
      <c r="T98" s="242"/>
      <c r="U98" s="243"/>
    </row>
    <row r="99" spans="1:21" x14ac:dyDescent="0.25">
      <c r="A99" s="242"/>
      <c r="B99" s="139" t="s">
        <v>207</v>
      </c>
      <c r="C99" s="139" t="s">
        <v>208</v>
      </c>
      <c r="D99" s="150">
        <v>2.3599999999999999E-4</v>
      </c>
      <c r="E99" s="285"/>
      <c r="F99" s="112" t="s">
        <v>209</v>
      </c>
      <c r="G99" s="247"/>
      <c r="H99" s="242"/>
      <c r="I99" s="242"/>
      <c r="J99" s="247"/>
      <c r="K99" s="247"/>
      <c r="L99" s="247"/>
      <c r="M99" s="242"/>
      <c r="N99" s="242"/>
      <c r="O99" s="242"/>
      <c r="P99" s="242"/>
      <c r="Q99" s="242"/>
      <c r="R99" s="242"/>
      <c r="S99" s="242"/>
      <c r="T99" s="242"/>
      <c r="U99" s="243"/>
    </row>
    <row r="100" spans="1:21" x14ac:dyDescent="0.25">
      <c r="A100" s="242"/>
      <c r="B100" s="139" t="s">
        <v>210</v>
      </c>
      <c r="C100" s="139" t="s">
        <v>208</v>
      </c>
      <c r="D100" s="5"/>
      <c r="E100" s="150">
        <v>2.6630000000000002E-4</v>
      </c>
      <c r="F100" s="149" t="s">
        <v>211</v>
      </c>
      <c r="G100" s="242"/>
      <c r="H100" s="242"/>
      <c r="I100" s="242"/>
      <c r="J100" s="242"/>
      <c r="K100" s="242"/>
      <c r="L100" s="242"/>
      <c r="M100" s="242"/>
      <c r="N100" s="242"/>
      <c r="O100" s="242"/>
      <c r="P100" s="242"/>
      <c r="Q100" s="242"/>
      <c r="R100" s="242"/>
      <c r="S100" s="242"/>
      <c r="T100" s="242"/>
      <c r="U100" s="243"/>
    </row>
    <row r="101" spans="1:21" x14ac:dyDescent="0.25">
      <c r="A101" s="242"/>
      <c r="B101" s="139"/>
      <c r="C101" s="139" t="s">
        <v>212</v>
      </c>
      <c r="D101" s="119">
        <v>1240.8499999999999</v>
      </c>
      <c r="E101" s="286"/>
      <c r="F101" s="112" t="s">
        <v>213</v>
      </c>
      <c r="G101" s="242"/>
      <c r="H101" s="242"/>
      <c r="I101" s="242"/>
      <c r="J101" s="242"/>
      <c r="K101" s="242"/>
      <c r="L101" s="242"/>
      <c r="M101" s="242"/>
      <c r="N101" s="242"/>
      <c r="O101" s="242"/>
      <c r="P101" s="242"/>
      <c r="Q101" s="242"/>
      <c r="R101" s="242"/>
      <c r="S101" s="242"/>
      <c r="T101" s="242"/>
      <c r="U101" s="243"/>
    </row>
    <row r="102" spans="1:21" x14ac:dyDescent="0.25">
      <c r="A102" s="242"/>
      <c r="B102" s="146"/>
      <c r="C102" s="146"/>
      <c r="D102" s="287"/>
      <c r="E102" s="288"/>
      <c r="F102" s="97"/>
      <c r="G102" s="242"/>
      <c r="H102" s="242"/>
      <c r="I102" s="242"/>
      <c r="J102" s="242"/>
      <c r="K102" s="242"/>
      <c r="L102" s="242"/>
      <c r="M102" s="242"/>
      <c r="N102" s="242"/>
      <c r="O102" s="242"/>
      <c r="P102" s="242"/>
      <c r="Q102" s="242"/>
      <c r="R102" s="242"/>
      <c r="S102" s="242"/>
      <c r="T102" s="242"/>
      <c r="U102" s="243"/>
    </row>
    <row r="103" spans="1:21" ht="15.75" customHeight="1" x14ac:dyDescent="0.25">
      <c r="A103" s="289"/>
      <c r="B103" s="158" t="s">
        <v>214</v>
      </c>
      <c r="C103" s="159"/>
      <c r="D103" s="290"/>
      <c r="E103" s="291"/>
      <c r="F103" s="160"/>
      <c r="G103" s="289"/>
      <c r="H103" s="289"/>
      <c r="I103" s="289"/>
      <c r="J103" s="289"/>
      <c r="K103" s="289"/>
      <c r="L103" s="289"/>
      <c r="M103" s="289"/>
      <c r="N103" s="289"/>
      <c r="O103" s="289"/>
      <c r="P103" s="289"/>
      <c r="Q103" s="289"/>
      <c r="R103" s="289"/>
      <c r="S103" s="289"/>
      <c r="T103" s="289"/>
      <c r="U103" s="292"/>
    </row>
    <row r="104" spans="1:21" ht="24" customHeight="1" x14ac:dyDescent="0.25">
      <c r="A104" s="151"/>
      <c r="B104" s="151"/>
      <c r="C104" s="151"/>
      <c r="D104" s="151"/>
      <c r="E104" s="151"/>
      <c r="F104" s="151"/>
      <c r="G104" s="151"/>
      <c r="H104" s="151"/>
      <c r="I104" s="151"/>
      <c r="J104" s="151"/>
      <c r="K104" s="151"/>
      <c r="L104" s="151"/>
      <c r="M104" s="151"/>
      <c r="N104" s="151"/>
      <c r="O104" s="151"/>
      <c r="P104" s="151"/>
      <c r="Q104" s="151"/>
      <c r="R104" s="151"/>
      <c r="S104" s="151"/>
      <c r="T104" s="151"/>
      <c r="U104" s="151"/>
    </row>
    <row r="105" spans="1:21" x14ac:dyDescent="0.25">
      <c r="A105" s="242"/>
      <c r="B105" s="242"/>
      <c r="C105" s="242"/>
      <c r="D105" s="242"/>
      <c r="E105" s="242"/>
      <c r="F105" s="242"/>
      <c r="G105" s="242"/>
      <c r="H105" s="242"/>
      <c r="I105" s="242"/>
      <c r="J105" s="242"/>
      <c r="K105" s="242"/>
      <c r="L105" s="242"/>
      <c r="M105" s="242"/>
      <c r="N105" s="242"/>
      <c r="O105" s="242"/>
      <c r="P105" s="242"/>
      <c r="Q105" s="242"/>
      <c r="R105" s="242"/>
      <c r="S105" s="242"/>
      <c r="T105" s="242"/>
      <c r="U105" s="242"/>
    </row>
    <row r="106" spans="1:21" x14ac:dyDescent="0.25">
      <c r="A106" s="242"/>
      <c r="D106" s="242"/>
      <c r="E106" s="242"/>
      <c r="F106" s="242"/>
      <c r="G106" s="242"/>
      <c r="H106" s="242"/>
      <c r="I106" s="242"/>
      <c r="J106" s="242"/>
      <c r="K106" s="242"/>
      <c r="L106" s="242"/>
      <c r="M106" s="242"/>
      <c r="N106" s="242"/>
      <c r="O106" s="242"/>
      <c r="P106" s="242"/>
      <c r="Q106" s="242"/>
      <c r="R106" s="242"/>
      <c r="S106" s="242"/>
      <c r="T106" s="242"/>
      <c r="U106" s="242"/>
    </row>
    <row r="107" spans="1:21" x14ac:dyDescent="0.25">
      <c r="A107" s="242"/>
      <c r="D107" s="242"/>
      <c r="E107" s="242"/>
      <c r="F107" s="242"/>
      <c r="G107" s="242"/>
      <c r="H107" s="242"/>
      <c r="I107" s="242"/>
      <c r="J107" s="242"/>
      <c r="K107" s="242"/>
      <c r="L107" s="242"/>
      <c r="M107" s="242"/>
      <c r="N107" s="242"/>
      <c r="O107" s="242"/>
      <c r="P107" s="242"/>
      <c r="Q107" s="242"/>
      <c r="R107" s="242"/>
      <c r="S107" s="242"/>
      <c r="T107" s="242"/>
      <c r="U107" s="242"/>
    </row>
    <row r="112" spans="1:21" x14ac:dyDescent="0.25">
      <c r="B112" s="242"/>
      <c r="D112" s="242"/>
    </row>
    <row r="113" spans="2:4" x14ac:dyDescent="0.25">
      <c r="B113" s="256"/>
      <c r="D113" s="293"/>
    </row>
  </sheetData>
  <mergeCells count="5">
    <mergeCell ref="U70:U71"/>
    <mergeCell ref="B16:E16"/>
    <mergeCell ref="E4:J4"/>
    <mergeCell ref="E5:J5"/>
    <mergeCell ref="E6:J6"/>
  </mergeCells>
  <conditionalFormatting sqref="B11:C11">
    <cfRule type="cellIs" dxfId="35" priority="13" operator="lessThan">
      <formula>0</formula>
    </cfRule>
  </conditionalFormatting>
  <conditionalFormatting sqref="B75:D75">
    <cfRule type="cellIs" dxfId="34" priority="5" operator="lessThan">
      <formula>0</formula>
    </cfRule>
  </conditionalFormatting>
  <conditionalFormatting sqref="B17:E17">
    <cfRule type="cellIs" dxfId="33" priority="12" operator="lessThan">
      <formula>0</formula>
    </cfRule>
  </conditionalFormatting>
  <conditionalFormatting sqref="B34:E34">
    <cfRule type="cellIs" dxfId="32" priority="10" operator="lessThan">
      <formula>0</formula>
    </cfRule>
  </conditionalFormatting>
  <conditionalFormatting sqref="B45:E45">
    <cfRule type="cellIs" dxfId="31" priority="8" operator="lessThan">
      <formula>0</formula>
    </cfRule>
  </conditionalFormatting>
  <conditionalFormatting sqref="B54:E54">
    <cfRule type="cellIs" dxfId="30" priority="7" operator="lessThan">
      <formula>0</formula>
    </cfRule>
  </conditionalFormatting>
  <conditionalFormatting sqref="B80:F80">
    <cfRule type="cellIs" dxfId="29" priority="4" operator="lessThan">
      <formula>0</formula>
    </cfRule>
  </conditionalFormatting>
  <conditionalFormatting sqref="B98:F98">
    <cfRule type="cellIs" dxfId="28" priority="1" operator="lessThan">
      <formula>0</formula>
    </cfRule>
  </conditionalFormatting>
  <conditionalFormatting sqref="B65:U65">
    <cfRule type="cellIs" dxfId="27" priority="6" operator="lessThan">
      <formula>0</formula>
    </cfRule>
  </conditionalFormatting>
  <conditionalFormatting sqref="B93:U93">
    <cfRule type="cellIs" dxfId="26" priority="2" operator="lessThan">
      <formula>0</formula>
    </cfRule>
  </conditionalFormatting>
  <conditionalFormatting sqref="C4:C7">
    <cfRule type="cellIs" dxfId="25" priority="18" operator="lessThan">
      <formula>0</formula>
    </cfRule>
  </conditionalFormatting>
  <conditionalFormatting sqref="C12">
    <cfRule type="cellIs" dxfId="24" priority="14" operator="lessThan">
      <formula>0</formula>
    </cfRule>
  </conditionalFormatting>
  <conditionalFormatting sqref="C38">
    <cfRule type="cellIs" dxfId="23" priority="25" operator="lessThan">
      <formula>0</formula>
    </cfRule>
  </conditionalFormatting>
  <conditionalFormatting sqref="D94:J95 N94:T96">
    <cfRule type="cellIs" dxfId="22" priority="17" operator="lessThan">
      <formula>0</formula>
    </cfRule>
  </conditionalFormatting>
  <conditionalFormatting sqref="H80:J80">
    <cfRule type="cellIs" dxfId="21" priority="3" operator="lessThan">
      <formula>0</formula>
    </cfRule>
  </conditionalFormatting>
  <conditionalFormatting sqref="H17:K17">
    <cfRule type="cellIs" dxfId="20" priority="11" operator="lessThan">
      <formula>0</formula>
    </cfRule>
  </conditionalFormatting>
  <conditionalFormatting sqref="H34:K34">
    <cfRule type="cellIs" dxfId="19" priority="9" operator="lessThan">
      <formula>0</formula>
    </cfRule>
  </conditionalFormatting>
  <conditionalFormatting sqref="I38:I42 D47:E47 D49:E49 D51:E51">
    <cfRule type="cellIs" dxfId="18" priority="27" operator="lessThan">
      <formula>0</formula>
    </cfRule>
  </conditionalFormatting>
  <conditionalFormatting sqref="I44:I51">
    <cfRule type="cellIs" dxfId="17" priority="22" operator="lessThan">
      <formula>0</formula>
    </cfRule>
  </conditionalFormatting>
  <conditionalFormatting sqref="I53:I61">
    <cfRule type="cellIs" dxfId="16" priority="20" operator="lessThan">
      <formula>0</formula>
    </cfRule>
  </conditionalFormatting>
  <conditionalFormatting sqref="K95:L95">
    <cfRule type="cellIs" dxfId="15" priority="15" operator="lessThan">
      <formula>0</formula>
    </cfRule>
  </conditionalFormatting>
  <conditionalFormatting sqref="K94:M94">
    <cfRule type="cellIs" dxfId="14" priority="16" operator="lessThan">
      <formula>0</formula>
    </cfRule>
  </conditionalFormatting>
  <hyperlinks>
    <hyperlink ref="U94" r:id="rId1" xr:uid="{1F9F3F52-0D43-4813-8A7E-860ADE3C0213}"/>
    <hyperlink ref="J18" r:id="rId2" xr:uid="{FB680507-0608-44FE-9E2B-D48EF32BD40F}"/>
    <hyperlink ref="D20" r:id="rId3" xr:uid="{DD70E848-B6A8-4206-8145-DFB51438E7E8}"/>
    <hyperlink ref="D30" r:id="rId4" xr:uid="{11D45459-7288-402E-8160-07CDC56FFB9B}"/>
    <hyperlink ref="F99" r:id="rId5" xr:uid="{5196E885-1ABF-433D-8E94-914470EACB58}"/>
    <hyperlink ref="F100" r:id="rId6" xr:uid="{C6137A6B-9F8E-4870-B092-52DD3891B01A}"/>
    <hyperlink ref="F101" r:id="rId7" xr:uid="{98CEAEC5-61C5-4F27-BE44-243D896CAB57}"/>
    <hyperlink ref="D76" r:id="rId8" xr:uid="{97C2EBD2-0D1C-477D-9AD4-0BDD4367750F}"/>
  </hyperlinks>
  <pageMargins left="0.7" right="0.7" top="0.75" bottom="0.75" header="0.3" footer="0.3"/>
  <pageSetup paperSize="9" orientation="portrait" horizontalDpi="1200" verticalDpi="1200" r:id="rId9"/>
  <ignoredErrors>
    <ignoredError sqref="H69:T69 H71:T71 H67:J67 K67:T67" formula="1"/>
  </ignoredErrors>
  <legacyDrawing r:id="rId1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D2AE64-E7BA-4BC7-8063-056CA3FE865E}">
  <dimension ref="A1:AM197"/>
  <sheetViews>
    <sheetView showGridLines="0" topLeftCell="A130" zoomScaleNormal="100" workbookViewId="0">
      <selection activeCell="B146" sqref="B146"/>
    </sheetView>
  </sheetViews>
  <sheetFormatPr baseColWidth="10" defaultColWidth="11.42578125" defaultRowHeight="15" x14ac:dyDescent="0.25"/>
  <cols>
    <col min="1" max="1" width="4.85546875" customWidth="1"/>
    <col min="2" max="2" width="39.5703125" customWidth="1"/>
    <col min="3" max="3" width="40.42578125" customWidth="1"/>
    <col min="4" max="4" width="23.5703125" customWidth="1"/>
    <col min="5" max="5" width="27.140625" customWidth="1"/>
    <col min="6" max="6" width="36.42578125" customWidth="1"/>
    <col min="7" max="7" width="18.42578125" customWidth="1"/>
    <col min="8" max="8" width="29.140625" customWidth="1"/>
    <col min="9" max="9" width="23" customWidth="1"/>
    <col min="10" max="10" width="17.42578125" customWidth="1"/>
    <col min="11" max="11" width="16.5703125" customWidth="1"/>
    <col min="12" max="12" width="17.5703125" customWidth="1"/>
    <col min="13" max="14" width="16.42578125" customWidth="1"/>
    <col min="15" max="15" width="15.42578125" bestFit="1" customWidth="1"/>
    <col min="16" max="17" width="15.42578125" customWidth="1"/>
  </cols>
  <sheetData>
    <row r="1" spans="1:28" ht="18.75" x14ac:dyDescent="0.3">
      <c r="A1" s="161"/>
      <c r="B1" s="161" t="s">
        <v>215</v>
      </c>
      <c r="C1" s="63"/>
      <c r="D1" s="64"/>
      <c r="E1" s="65"/>
      <c r="F1" s="6"/>
      <c r="G1" s="6"/>
      <c r="H1" s="6"/>
      <c r="I1" s="6"/>
      <c r="J1" s="6"/>
      <c r="K1" s="6"/>
      <c r="L1" s="6"/>
      <c r="M1" s="6"/>
      <c r="N1" s="6"/>
      <c r="O1" s="6"/>
      <c r="P1" s="6"/>
      <c r="Q1" s="6"/>
      <c r="R1" s="200"/>
      <c r="S1" s="13"/>
      <c r="T1" s="13"/>
      <c r="U1" s="13"/>
      <c r="V1" s="13"/>
      <c r="W1" s="13"/>
      <c r="X1" s="13"/>
      <c r="Y1" s="13"/>
      <c r="Z1" s="13"/>
      <c r="AA1" s="13"/>
      <c r="AB1" s="13"/>
    </row>
    <row r="2" spans="1:28" ht="18.75" x14ac:dyDescent="0.3">
      <c r="B2" s="169"/>
      <c r="C2" s="170"/>
      <c r="D2" s="171"/>
      <c r="E2" s="172"/>
      <c r="F2" s="13"/>
      <c r="G2" s="13"/>
      <c r="H2" s="13"/>
      <c r="I2" s="13"/>
      <c r="J2" s="13"/>
      <c r="K2" s="13"/>
      <c r="L2" s="13"/>
      <c r="M2" s="13"/>
      <c r="N2" s="13"/>
      <c r="O2" s="13"/>
      <c r="P2" s="13"/>
      <c r="Q2" s="13"/>
      <c r="R2" s="200"/>
      <c r="S2" s="13"/>
      <c r="T2" s="13"/>
      <c r="U2" s="13"/>
      <c r="V2" s="13"/>
      <c r="W2" s="13"/>
      <c r="X2" s="13"/>
      <c r="Y2" s="13"/>
      <c r="Z2" s="13"/>
      <c r="AA2" s="13"/>
      <c r="AB2" s="13"/>
    </row>
    <row r="3" spans="1:28" ht="20.25" x14ac:dyDescent="0.3">
      <c r="B3" s="173" t="s">
        <v>216</v>
      </c>
      <c r="R3" s="9"/>
    </row>
    <row r="4" spans="1:28" s="1" customFormat="1" ht="15.75" x14ac:dyDescent="0.25">
      <c r="A4" s="294"/>
      <c r="B4" s="3" t="s">
        <v>167</v>
      </c>
      <c r="C4" s="4"/>
      <c r="D4" s="175">
        <v>2024</v>
      </c>
      <c r="E4" s="175">
        <v>2025</v>
      </c>
      <c r="F4" s="175">
        <v>2026</v>
      </c>
      <c r="G4" s="175">
        <v>2027</v>
      </c>
      <c r="H4" s="175">
        <v>2028</v>
      </c>
      <c r="I4" s="175">
        <v>2029</v>
      </c>
      <c r="J4" s="175">
        <v>2030</v>
      </c>
      <c r="K4" s="175">
        <v>2031</v>
      </c>
      <c r="L4" s="175">
        <v>2032</v>
      </c>
      <c r="M4" s="175">
        <v>2033</v>
      </c>
      <c r="N4" s="175">
        <v>2034</v>
      </c>
      <c r="O4"/>
      <c r="P4"/>
      <c r="Q4"/>
      <c r="R4" s="9"/>
      <c r="S4"/>
      <c r="T4"/>
      <c r="U4"/>
      <c r="V4"/>
      <c r="W4"/>
      <c r="X4"/>
      <c r="Y4"/>
      <c r="Z4"/>
      <c r="AA4"/>
      <c r="AB4" s="294"/>
    </row>
    <row r="5" spans="1:28" s="2" customFormat="1" x14ac:dyDescent="0.25">
      <c r="B5" s="397" t="s">
        <v>217</v>
      </c>
      <c r="C5" s="295" t="s">
        <v>218</v>
      </c>
      <c r="D5" s="296" t="s">
        <v>219</v>
      </c>
      <c r="E5" s="296">
        <f>Input!C25*Input!C22</f>
        <v>63.206017875000015</v>
      </c>
      <c r="F5" s="296">
        <f>Input!$C$22*Input!$C$26</f>
        <v>316.0300893750001</v>
      </c>
      <c r="G5" s="296">
        <f>F5+F5*Input!$C$76</f>
        <v>292.95989285062512</v>
      </c>
      <c r="H5" s="296">
        <f>G5+G5*Input!$C$76</f>
        <v>271.57382067252951</v>
      </c>
      <c r="I5" s="296">
        <f>H5+H5*Input!$C$76</f>
        <v>251.74893176343485</v>
      </c>
      <c r="J5" s="296">
        <f>I5+I5*Input!$C$76</f>
        <v>233.3712597447041</v>
      </c>
      <c r="K5" s="296">
        <f>J5+J5*Input!$C$76</f>
        <v>216.33515778334072</v>
      </c>
      <c r="L5" s="296">
        <f>K5+K5*Input!$C$76</f>
        <v>200.54269126515686</v>
      </c>
      <c r="M5" s="296">
        <f>L5+L5*Input!$C$76</f>
        <v>185.9030748028004</v>
      </c>
      <c r="N5" s="296">
        <f>M5+M5*Input!$C$76</f>
        <v>172.33215034219597</v>
      </c>
      <c r="O5"/>
      <c r="P5"/>
      <c r="Q5"/>
      <c r="R5" s="9"/>
    </row>
    <row r="6" spans="1:28" s="2" customFormat="1" ht="16.5" customHeight="1" x14ac:dyDescent="0.25">
      <c r="B6" s="397"/>
      <c r="C6" s="295" t="s">
        <v>220</v>
      </c>
      <c r="D6" s="296" t="s">
        <v>219</v>
      </c>
      <c r="E6" s="297">
        <f>Input!$C$23*E5</f>
        <v>2755.7384686180771</v>
      </c>
      <c r="F6" s="297">
        <f>Input!$C$23*F5</f>
        <v>13778.692343090386</v>
      </c>
      <c r="G6" s="297">
        <f>Input!$C$23*G5</f>
        <v>12772.847802044789</v>
      </c>
      <c r="H6" s="297">
        <f>Input!$C$23*H5</f>
        <v>11840.429912495521</v>
      </c>
      <c r="I6" s="297">
        <f>Input!$C$23*I5</f>
        <v>10976.078528883349</v>
      </c>
      <c r="J6" s="297">
        <f>Input!$C$23*J5</f>
        <v>10174.824796274863</v>
      </c>
      <c r="K6" s="297">
        <f>Input!$C$23*K5</f>
        <v>9432.0625861467997</v>
      </c>
      <c r="L6" s="297">
        <f>Input!$C$23*L5</f>
        <v>8743.5220173580838</v>
      </c>
      <c r="M6" s="297">
        <f>Input!$C$23*M5</f>
        <v>8105.2449100909425</v>
      </c>
      <c r="N6" s="297">
        <f>Input!$C$23*N5</f>
        <v>7513.5620316543045</v>
      </c>
      <c r="O6"/>
      <c r="P6"/>
      <c r="Q6"/>
      <c r="R6" s="9"/>
    </row>
    <row r="7" spans="1:28" s="2" customFormat="1" x14ac:dyDescent="0.25">
      <c r="B7" s="397"/>
      <c r="C7" s="295" t="s">
        <v>221</v>
      </c>
      <c r="D7" s="296" t="s">
        <v>219</v>
      </c>
      <c r="E7" s="298">
        <v>0.05</v>
      </c>
      <c r="F7" s="298">
        <v>0.05</v>
      </c>
      <c r="G7" s="298">
        <f>F7+(F7*Input!$C$76)</f>
        <v>4.6350000000000002E-2</v>
      </c>
      <c r="H7" s="298">
        <f>G7+(G7*Input!$C$76)</f>
        <v>4.2966450000000003E-2</v>
      </c>
      <c r="I7" s="298">
        <f>H7+(H7*Input!$C$76)</f>
        <v>3.982989915E-2</v>
      </c>
      <c r="J7" s="298">
        <f>I7+(I7*Input!$C$76)</f>
        <v>3.6922316512050003E-2</v>
      </c>
      <c r="K7" s="298">
        <f>J7+(J7*Input!$C$76)</f>
        <v>3.4226987406670351E-2</v>
      </c>
      <c r="L7" s="298">
        <f>K7+(K7*Input!$C$76)</f>
        <v>3.1728417325983416E-2</v>
      </c>
      <c r="M7" s="298">
        <f>L7+(L7*Input!$C$76)</f>
        <v>2.9412242861186627E-2</v>
      </c>
      <c r="N7" s="298">
        <f>M7+(M7*Input!$C$76)</f>
        <v>2.7265149132320005E-2</v>
      </c>
      <c r="O7"/>
      <c r="P7"/>
      <c r="Q7"/>
      <c r="R7" s="9"/>
    </row>
    <row r="8" spans="1:28" s="2" customFormat="1" ht="17.25" customHeight="1" x14ac:dyDescent="0.25">
      <c r="B8" s="397"/>
      <c r="C8" s="295" t="s">
        <v>222</v>
      </c>
      <c r="D8" s="296" t="s">
        <v>219</v>
      </c>
      <c r="E8" s="297">
        <f>Input!$C$24*E7*Input!$C$18</f>
        <v>4019.5336907207757</v>
      </c>
      <c r="F8" s="297">
        <f>Input!$C$24*F7*Input!$C$18</f>
        <v>4019.5336907207757</v>
      </c>
      <c r="G8" s="297">
        <f>Input!$C$24*G7*Input!$C$18</f>
        <v>3726.1077312981597</v>
      </c>
      <c r="H8" s="297">
        <f>Input!$C$24*H7*Input!$C$18</f>
        <v>3454.1018669133941</v>
      </c>
      <c r="I8" s="297">
        <f>Input!$C$24*I7*Input!$C$18</f>
        <v>3201.9524306287158</v>
      </c>
      <c r="J8" s="297">
        <f>Input!$C$24*J7*Input!$C$18</f>
        <v>2968.2099031928196</v>
      </c>
      <c r="K8" s="297">
        <f>Input!$C$24*K7*Input!$C$18</f>
        <v>2751.5305802597436</v>
      </c>
      <c r="L8" s="297">
        <f>Input!$C$24*L7*Input!$C$18</f>
        <v>2550.6688479007826</v>
      </c>
      <c r="M8" s="297">
        <f>Input!$C$24*M7*Input!$C$18</f>
        <v>2364.4700220040254</v>
      </c>
      <c r="N8" s="297">
        <f>Input!$C$24*N7*Input!$C$18</f>
        <v>2191.8637103977317</v>
      </c>
      <c r="O8"/>
      <c r="P8"/>
      <c r="Q8"/>
      <c r="R8" s="9"/>
    </row>
    <row r="9" spans="1:28" s="2" customFormat="1" x14ac:dyDescent="0.25">
      <c r="B9" s="397"/>
      <c r="C9" s="295" t="s">
        <v>223</v>
      </c>
      <c r="D9" s="296" t="s">
        <v>219</v>
      </c>
      <c r="E9" s="297">
        <f>E5*Input!G67</f>
        <v>149768.39503359116</v>
      </c>
      <c r="F9" s="297">
        <f>F5*Input!H67</f>
        <v>611970.03300912527</v>
      </c>
      <c r="G9" s="297">
        <f>G5*Input!I67</f>
        <v>567296.22059945913</v>
      </c>
      <c r="H9" s="297">
        <f>H5*Input!J67</f>
        <v>525883.59649569867</v>
      </c>
      <c r="I9" s="297">
        <f>I5*Input!K67</f>
        <v>487494.09395151265</v>
      </c>
      <c r="J9" s="297">
        <f>J5*Input!L67</f>
        <v>451907.02509305225</v>
      </c>
      <c r="K9" s="297">
        <f>K5*Input!M67</f>
        <v>418917.81226125942</v>
      </c>
      <c r="L9" s="297">
        <f>L5*Input!N67</f>
        <v>388336.81196618755</v>
      </c>
      <c r="M9" s="297">
        <f>M5*Input!O67</f>
        <v>359988.22469265584</v>
      </c>
      <c r="N9" s="297">
        <f>N5*Input!P67</f>
        <v>333709.08429009194</v>
      </c>
      <c r="O9"/>
      <c r="P9"/>
      <c r="Q9"/>
      <c r="R9" s="9"/>
    </row>
    <row r="10" spans="1:28" s="2" customFormat="1" x14ac:dyDescent="0.25">
      <c r="B10" s="397"/>
      <c r="C10" s="295" t="s">
        <v>224</v>
      </c>
      <c r="D10" s="299" t="s">
        <v>219</v>
      </c>
      <c r="E10" s="297">
        <v>0</v>
      </c>
      <c r="F10" s="297">
        <f>Input!$C$27*Input!$C$29*Input!H$67*(Input!$C$22+F5)*Input!$C$28</f>
        <v>1835.9100990273757</v>
      </c>
      <c r="G10" s="297">
        <f>Input!$C$27*Input!$C$29*Input!I$67*(Input!$C$22+G5)*Input!$C$28</f>
        <v>1813.573192822543</v>
      </c>
      <c r="H10" s="297">
        <f>Input!$C$27*Input!$C$29*Input!J$67*(Input!$C$22+H5)*Input!$C$28</f>
        <v>1792.8668807706629</v>
      </c>
      <c r="I10" s="297">
        <f>Input!$C$27*Input!$C$29*Input!K$67*(Input!$C$22+I5)*Input!$C$28</f>
        <v>1773.67212949857</v>
      </c>
      <c r="J10" s="297">
        <f>Input!$C$27*Input!$C$29*Input!L$67*(Input!$C$22+J5)*Input!$C$28</f>
        <v>1755.8785950693393</v>
      </c>
      <c r="K10" s="297">
        <f>Input!$C$27*Input!$C$29*Input!M$67*(Input!$C$22+K5)*Input!$C$28</f>
        <v>1739.3839886534433</v>
      </c>
      <c r="L10" s="297">
        <f>Input!$C$27*Input!$C$29*Input!N$67*(Input!$C$22+L5)*Input!$C$28</f>
        <v>1724.0934885059073</v>
      </c>
      <c r="M10" s="297">
        <f>Input!$C$27*Input!$C$29*Input!O$67*(Input!$C$22+M5)*Input!$C$28</f>
        <v>1709.9191948691414</v>
      </c>
      <c r="N10" s="297">
        <f>Input!$C$27*Input!$C$29*Input!P$67*(Input!$C$22+N5)*Input!$C$28</f>
        <v>1696.7796246678595</v>
      </c>
      <c r="O10"/>
      <c r="P10"/>
      <c r="Q10"/>
      <c r="R10" s="9"/>
    </row>
    <row r="11" spans="1:28" s="2" customFormat="1" x14ac:dyDescent="0.25">
      <c r="B11" s="397"/>
      <c r="C11" s="300" t="s">
        <v>225</v>
      </c>
      <c r="D11" s="301" t="s">
        <v>219</v>
      </c>
      <c r="E11" s="302">
        <f t="shared" ref="E11:N11" si="0">E9+E10-E8-E6</f>
        <v>142993.12287425232</v>
      </c>
      <c r="F11" s="302">
        <f t="shared" si="0"/>
        <v>596007.71707434137</v>
      </c>
      <c r="G11" s="302">
        <f t="shared" si="0"/>
        <v>552610.83825893863</v>
      </c>
      <c r="H11" s="302">
        <f t="shared" si="0"/>
        <v>512381.93159706041</v>
      </c>
      <c r="I11" s="302">
        <f t="shared" si="0"/>
        <v>475089.73512149916</v>
      </c>
      <c r="J11" s="302">
        <f t="shared" si="0"/>
        <v>440519.86898865388</v>
      </c>
      <c r="K11" s="302">
        <f t="shared" si="0"/>
        <v>408473.60308350628</v>
      </c>
      <c r="L11" s="302">
        <f t="shared" si="0"/>
        <v>378766.71458943462</v>
      </c>
      <c r="M11" s="302">
        <f t="shared" si="0"/>
        <v>351228.42895542999</v>
      </c>
      <c r="N11" s="302">
        <f t="shared" si="0"/>
        <v>325700.43817270774</v>
      </c>
      <c r="O11"/>
      <c r="P11"/>
      <c r="Q11"/>
      <c r="R11" s="9"/>
    </row>
    <row r="12" spans="1:28" s="2" customFormat="1" x14ac:dyDescent="0.25">
      <c r="B12" s="397"/>
      <c r="C12" s="300" t="s">
        <v>226</v>
      </c>
      <c r="D12" s="301" t="s">
        <v>219</v>
      </c>
      <c r="E12" s="302">
        <f>E11/(1+Input!$C$12)^(E4-2024)</f>
        <v>129993.74806750211</v>
      </c>
      <c r="F12" s="302">
        <f>F11/(1+Input!$C$12)^(F4-2024)</f>
        <v>492568.36121846386</v>
      </c>
      <c r="G12" s="302">
        <f>G11/(1+Input!$C$12)^(G4-2024)</f>
        <v>415184.70192256832</v>
      </c>
      <c r="H12" s="302">
        <f>H11/(1+Input!$C$12)^(H4-2024)</f>
        <v>349963.7535667374</v>
      </c>
      <c r="I12" s="302">
        <f>I11/(1+Input!$C$12)^(I4-2024)</f>
        <v>294993.34690346476</v>
      </c>
      <c r="J12" s="302">
        <f>J11/(1+Input!$C$12)^(J4-2024)</f>
        <v>248661.98171480049</v>
      </c>
      <c r="K12" s="302">
        <f>K11/(1+Input!$C$12)^(K4-2024)</f>
        <v>209611.54550524856</v>
      </c>
      <c r="L12" s="302">
        <f>L11/(1+Input!$C$12)^(L4-2024)</f>
        <v>176697.46773376488</v>
      </c>
      <c r="M12" s="302">
        <f>M11/(1+Input!$C$12)^(M4-2024)</f>
        <v>148955.14022470728</v>
      </c>
      <c r="N12" s="302">
        <f>N11/(1+Input!$C$12)^(N4-2024)</f>
        <v>125571.61830174548</v>
      </c>
      <c r="O12"/>
      <c r="P12"/>
      <c r="Q12"/>
      <c r="R12" s="9"/>
    </row>
    <row r="13" spans="1:28" s="2" customFormat="1" x14ac:dyDescent="0.25">
      <c r="B13" s="397"/>
      <c r="C13" s="300" t="s">
        <v>227</v>
      </c>
      <c r="D13" s="301" t="s">
        <v>219</v>
      </c>
      <c r="E13" s="302">
        <f>E12/(Input!$F$94/Input!$C$94)</f>
        <v>111591.83824251672</v>
      </c>
      <c r="F13" s="302">
        <f>F12/(Input!$F$94/Input!$C$94)</f>
        <v>422840.40352409676</v>
      </c>
      <c r="G13" s="302">
        <f>G12/(Input!$F$94/Input!$C$94)</f>
        <v>356411.17197153403</v>
      </c>
      <c r="H13" s="302">
        <f>H12/(Input!$F$94/Input!$C$94)</f>
        <v>300422.89848034974</v>
      </c>
      <c r="I13" s="302">
        <f>I12/(Input!$F$94/Input!$C$94)</f>
        <v>253234.1004059382</v>
      </c>
      <c r="J13" s="302">
        <f>J12/(Input!$F$94/Input!$C$94)</f>
        <v>213461.40143734124</v>
      </c>
      <c r="K13" s="302">
        <f>K12/(Input!$F$94/Input!$C$94)</f>
        <v>179938.94343010537</v>
      </c>
      <c r="L13" s="302">
        <f>L12/(Input!$F$94/Input!$C$94)</f>
        <v>151684.18120361917</v>
      </c>
      <c r="M13" s="302">
        <f>M12/(Input!$F$94/Input!$C$94)</f>
        <v>127869.05647735843</v>
      </c>
      <c r="N13" s="302">
        <f>N12/(Input!$F$94/Input!$C$94)</f>
        <v>107795.70499115848</v>
      </c>
      <c r="O13"/>
      <c r="P13"/>
      <c r="Q13"/>
      <c r="R13" s="9"/>
    </row>
    <row r="14" spans="1:28" s="2" customFormat="1" ht="16.5" thickBot="1" x14ac:dyDescent="0.3">
      <c r="B14" s="397"/>
      <c r="C14" s="303" t="s">
        <v>228</v>
      </c>
      <c r="D14" s="177" t="s">
        <v>219</v>
      </c>
      <c r="E14" s="304">
        <f>E13*Input!$D$99</f>
        <v>26.335673825233947</v>
      </c>
      <c r="F14" s="304">
        <f>F13*Input!$D$99</f>
        <v>99.790335231686839</v>
      </c>
      <c r="G14" s="304">
        <f>G13*Input!$D$99</f>
        <v>84.113036585282032</v>
      </c>
      <c r="H14" s="304">
        <f>H13*Input!$D$99</f>
        <v>70.899804041362543</v>
      </c>
      <c r="I14" s="304">
        <f>I13*Input!$D$99</f>
        <v>59.763247695801411</v>
      </c>
      <c r="J14" s="304">
        <f>J13*Input!$D$99</f>
        <v>50.376890739212527</v>
      </c>
      <c r="K14" s="304">
        <f>K13*Input!$D$99</f>
        <v>42.465590649504868</v>
      </c>
      <c r="L14" s="304">
        <f>L13*Input!$D$99</f>
        <v>35.797466764054121</v>
      </c>
      <c r="M14" s="304">
        <f>M13*Input!$D$99</f>
        <v>30.17709732865659</v>
      </c>
      <c r="N14" s="304">
        <f>N13*Input!$D$99</f>
        <v>25.4397863779134</v>
      </c>
      <c r="O14"/>
      <c r="P14"/>
      <c r="Q14"/>
      <c r="R14" s="9"/>
      <c r="S14" s="201"/>
      <c r="T14" s="201"/>
      <c r="U14" s="201"/>
      <c r="V14" s="201"/>
      <c r="W14" s="201"/>
      <c r="X14" s="201"/>
      <c r="Y14" s="201"/>
      <c r="Z14" s="201"/>
      <c r="AA14" s="201"/>
    </row>
    <row r="15" spans="1:28" s="2" customFormat="1" x14ac:dyDescent="0.25">
      <c r="B15" s="398" t="s">
        <v>59</v>
      </c>
      <c r="C15" s="305" t="s">
        <v>229</v>
      </c>
      <c r="D15" s="306" t="s">
        <v>219</v>
      </c>
      <c r="E15" s="306" t="s">
        <v>219</v>
      </c>
      <c r="F15" s="307">
        <f>Input!$C$37*Input!$C$35*Input!$C$41</f>
        <v>59092.72262259596</v>
      </c>
      <c r="G15" s="307">
        <f>Input!$C$37*Input!$C$35*Input!$C$41</f>
        <v>59092.72262259596</v>
      </c>
      <c r="H15" s="307">
        <f>Input!$C$37*Input!$C$35*Input!$C$41</f>
        <v>59092.72262259596</v>
      </c>
      <c r="I15" s="307">
        <f>Input!$C$37*Input!$C$35*Input!$C$41</f>
        <v>59092.72262259596</v>
      </c>
      <c r="J15" s="307">
        <f>Input!$C$37*Input!$C$35*Input!$C$41</f>
        <v>59092.72262259596</v>
      </c>
      <c r="K15" s="307">
        <f>Input!$C$37*Input!$C$35*Input!$C$41</f>
        <v>59092.72262259596</v>
      </c>
      <c r="L15" s="307">
        <f>Input!$C$37*Input!$C$35*Input!$C$41</f>
        <v>59092.72262259596</v>
      </c>
      <c r="M15" s="307">
        <f>Input!$C$37*Input!$C$35*Input!$C$41</f>
        <v>59092.72262259596</v>
      </c>
      <c r="N15" s="307">
        <f>Input!$C$37*Input!$C$35*Input!$C$41</f>
        <v>59092.72262259596</v>
      </c>
      <c r="O15"/>
      <c r="P15"/>
      <c r="Q15"/>
      <c r="R15" s="9"/>
      <c r="S15" s="202"/>
      <c r="T15" s="202"/>
      <c r="U15" s="202"/>
      <c r="V15" s="202"/>
      <c r="W15" s="202"/>
      <c r="X15" s="202"/>
      <c r="Y15" s="202"/>
      <c r="Z15" s="202"/>
      <c r="AA15" s="202"/>
    </row>
    <row r="16" spans="1:28" s="2" customFormat="1" x14ac:dyDescent="0.25">
      <c r="B16" s="397"/>
      <c r="C16" s="308" t="s">
        <v>230</v>
      </c>
      <c r="D16" s="309" t="s">
        <v>219</v>
      </c>
      <c r="E16" s="309" t="s">
        <v>219</v>
      </c>
      <c r="F16" s="310">
        <f>Input!$C$40*Input!$C$35*Input!$C$41</f>
        <v>24860.195880130937</v>
      </c>
      <c r="G16" s="310">
        <f>Input!$C$40*Input!$C$35*Input!$C$41</f>
        <v>24860.195880130937</v>
      </c>
      <c r="H16" s="310">
        <f>Input!$C$40*Input!$C$35*Input!$C$41</f>
        <v>24860.195880130937</v>
      </c>
      <c r="I16" s="310">
        <f>Input!$C$40*Input!$C$35*Input!$C$41</f>
        <v>24860.195880130937</v>
      </c>
      <c r="J16" s="310">
        <f>Input!$C$40*Input!$C$35*Input!$C$41</f>
        <v>24860.195880130937</v>
      </c>
      <c r="K16" s="310">
        <f>Input!$C$40*Input!$C$35*Input!$C$41</f>
        <v>24860.195880130937</v>
      </c>
      <c r="L16" s="310">
        <f>Input!$C$40*Input!$C$35*Input!$C$41</f>
        <v>24860.195880130937</v>
      </c>
      <c r="M16" s="310">
        <f>Input!$C$40*Input!$C$35*Input!$C$41</f>
        <v>24860.195880130937</v>
      </c>
      <c r="N16" s="310">
        <f>Input!$C$40*Input!$C$35*Input!$C$41</f>
        <v>24860.195880130937</v>
      </c>
      <c r="O16"/>
      <c r="P16"/>
      <c r="Q16"/>
      <c r="R16" s="9"/>
      <c r="S16" s="202"/>
      <c r="T16" s="202"/>
      <c r="U16" s="202"/>
      <c r="V16" s="202"/>
      <c r="W16" s="202"/>
      <c r="X16" s="202"/>
      <c r="Y16" s="202"/>
      <c r="Z16" s="202"/>
      <c r="AA16" s="202"/>
    </row>
    <row r="17" spans="2:28" s="2" customFormat="1" x14ac:dyDescent="0.25">
      <c r="B17" s="397"/>
      <c r="C17" s="308" t="s">
        <v>231</v>
      </c>
      <c r="D17" s="311" t="s">
        <v>219</v>
      </c>
      <c r="E17" s="311" t="s">
        <v>219</v>
      </c>
      <c r="F17" s="310">
        <f t="shared" ref="F17:N17" si="1">F15-F16</f>
        <v>34232.526742465023</v>
      </c>
      <c r="G17" s="310">
        <f t="shared" si="1"/>
        <v>34232.526742465023</v>
      </c>
      <c r="H17" s="310">
        <f t="shared" si="1"/>
        <v>34232.526742465023</v>
      </c>
      <c r="I17" s="310">
        <f t="shared" si="1"/>
        <v>34232.526742465023</v>
      </c>
      <c r="J17" s="310">
        <f t="shared" si="1"/>
        <v>34232.526742465023</v>
      </c>
      <c r="K17" s="310">
        <f t="shared" si="1"/>
        <v>34232.526742465023</v>
      </c>
      <c r="L17" s="310">
        <f t="shared" si="1"/>
        <v>34232.526742465023</v>
      </c>
      <c r="M17" s="310">
        <f t="shared" si="1"/>
        <v>34232.526742465023</v>
      </c>
      <c r="N17" s="310">
        <f t="shared" si="1"/>
        <v>34232.526742465023</v>
      </c>
      <c r="O17"/>
      <c r="P17"/>
      <c r="Q17"/>
      <c r="R17" s="9"/>
      <c r="S17" s="202"/>
      <c r="T17" s="202"/>
      <c r="U17" s="202"/>
      <c r="V17" s="202"/>
      <c r="W17" s="202"/>
      <c r="X17" s="202"/>
      <c r="Y17" s="202"/>
      <c r="Z17" s="202"/>
      <c r="AA17" s="202"/>
    </row>
    <row r="18" spans="2:28" s="2" customFormat="1" x14ac:dyDescent="0.25">
      <c r="B18" s="397"/>
      <c r="C18" s="308" t="s">
        <v>232</v>
      </c>
      <c r="D18" s="311" t="s">
        <v>219</v>
      </c>
      <c r="E18" s="311" t="s">
        <v>219</v>
      </c>
      <c r="F18" s="310">
        <f>Input!$C$42*Input!$C$35*Input!$C$41</f>
        <v>33555.427374661209</v>
      </c>
      <c r="G18" s="310">
        <f>Input!$C$42*Input!$C$35*Input!$C$41</f>
        <v>33555.427374661209</v>
      </c>
      <c r="H18" s="310">
        <f>Input!$C$42*Input!$C$35*Input!$C$41</f>
        <v>33555.427374661209</v>
      </c>
      <c r="I18" s="310">
        <f>Input!$C$42*Input!$C$35*Input!$C$41</f>
        <v>33555.427374661209</v>
      </c>
      <c r="J18" s="310">
        <f>Input!$C$42*Input!$C$35*Input!$C$41</f>
        <v>33555.427374661209</v>
      </c>
      <c r="K18" s="310">
        <f>Input!$C$42*Input!$C$35*Input!$C$41</f>
        <v>33555.427374661209</v>
      </c>
      <c r="L18" s="310">
        <f>Input!$C$42*Input!$C$35*Input!$C$41</f>
        <v>33555.427374661209</v>
      </c>
      <c r="M18" s="310">
        <f>Input!$C$42*Input!$C$35*Input!$C$41</f>
        <v>33555.427374661209</v>
      </c>
      <c r="N18" s="310">
        <f>Input!$C$42*Input!$C$35*Input!$C$41</f>
        <v>33555.427374661209</v>
      </c>
      <c r="O18"/>
      <c r="P18"/>
      <c r="Q18"/>
      <c r="R18" s="9"/>
      <c r="S18" s="202"/>
      <c r="T18" s="202"/>
      <c r="U18" s="202"/>
      <c r="V18" s="202"/>
      <c r="W18" s="202"/>
      <c r="X18" s="202"/>
      <c r="Y18" s="202"/>
      <c r="Z18" s="202"/>
      <c r="AA18" s="202"/>
    </row>
    <row r="19" spans="2:28" s="2" customFormat="1" x14ac:dyDescent="0.25">
      <c r="B19" s="397"/>
      <c r="C19" s="300" t="s">
        <v>225</v>
      </c>
      <c r="D19" s="312" t="s">
        <v>219</v>
      </c>
      <c r="E19" s="313">
        <v>0</v>
      </c>
      <c r="F19" s="314">
        <f t="shared" ref="F19:N19" si="2">F17-F18</f>
        <v>677.09936780381395</v>
      </c>
      <c r="G19" s="314">
        <f t="shared" si="2"/>
        <v>677.09936780381395</v>
      </c>
      <c r="H19" s="314">
        <f t="shared" si="2"/>
        <v>677.09936780381395</v>
      </c>
      <c r="I19" s="314">
        <f t="shared" si="2"/>
        <v>677.09936780381395</v>
      </c>
      <c r="J19" s="314">
        <f t="shared" si="2"/>
        <v>677.09936780381395</v>
      </c>
      <c r="K19" s="314">
        <f t="shared" si="2"/>
        <v>677.09936780381395</v>
      </c>
      <c r="L19" s="314">
        <f t="shared" si="2"/>
        <v>677.09936780381395</v>
      </c>
      <c r="M19" s="314">
        <f t="shared" si="2"/>
        <v>677.09936780381395</v>
      </c>
      <c r="N19" s="314">
        <f t="shared" si="2"/>
        <v>677.09936780381395</v>
      </c>
      <c r="O19"/>
      <c r="P19"/>
      <c r="Q19"/>
      <c r="R19" s="9"/>
      <c r="S19" s="202"/>
      <c r="T19" s="202"/>
      <c r="U19" s="202"/>
      <c r="V19" s="202"/>
      <c r="W19" s="202"/>
      <c r="X19" s="202"/>
      <c r="Y19" s="202"/>
      <c r="Z19" s="202"/>
      <c r="AA19" s="202"/>
    </row>
    <row r="20" spans="2:28" s="2" customFormat="1" x14ac:dyDescent="0.25">
      <c r="B20" s="397"/>
      <c r="C20" s="300" t="s">
        <v>233</v>
      </c>
      <c r="D20" s="301" t="s">
        <v>219</v>
      </c>
      <c r="E20" s="302">
        <v>0</v>
      </c>
      <c r="F20" s="302">
        <f>F19/(1+Input!$C$12)^(F4-2024)</f>
        <v>559.58625438331728</v>
      </c>
      <c r="G20" s="302">
        <f>G19/(1+Input!$C$12)^(G4-2024)</f>
        <v>508.71477671210647</v>
      </c>
      <c r="H20" s="302">
        <f>H19/(1+Input!$C$12)^(H4-2024)</f>
        <v>462.46797882918776</v>
      </c>
      <c r="I20" s="302">
        <f>I19/(1+Input!$C$12)^(I4-2024)</f>
        <v>420.42543529926155</v>
      </c>
      <c r="J20" s="302">
        <f>J19/(1+Input!$C$12)^(J4-2024)</f>
        <v>382.20494118114681</v>
      </c>
      <c r="K20" s="302">
        <f>K19/(1+Input!$C$12)^(K4-2024)</f>
        <v>347.45903743740615</v>
      </c>
      <c r="L20" s="302">
        <f>L19/(1+Input!$C$12)^(L4-2024)</f>
        <v>315.87185221582382</v>
      </c>
      <c r="M20" s="302">
        <f>M19/(1+Input!$C$12)^(M4-2024)</f>
        <v>287.15622928711252</v>
      </c>
      <c r="N20" s="302">
        <f>N19/(1+Input!$C$12)^(N4-2024)</f>
        <v>261.05111753373865</v>
      </c>
      <c r="O20"/>
      <c r="P20"/>
      <c r="Q20"/>
      <c r="R20" s="9"/>
      <c r="S20" s="202"/>
      <c r="T20" s="202"/>
      <c r="U20" s="202"/>
      <c r="V20" s="202"/>
      <c r="W20" s="202"/>
      <c r="X20" s="202"/>
      <c r="Y20" s="202"/>
      <c r="Z20" s="202"/>
      <c r="AA20" s="202"/>
    </row>
    <row r="21" spans="2:28" s="2" customFormat="1" x14ac:dyDescent="0.25">
      <c r="B21" s="397"/>
      <c r="C21" s="300" t="s">
        <v>227</v>
      </c>
      <c r="D21" s="301" t="s">
        <v>219</v>
      </c>
      <c r="E21" s="302">
        <v>0</v>
      </c>
      <c r="F21" s="302">
        <f>F20/(Input!$F$94/Input!$C$94)</f>
        <v>480.37124638834848</v>
      </c>
      <c r="G21" s="302">
        <f>G20/(Input!$F$94/Input!$C$94)</f>
        <v>436.70113308031671</v>
      </c>
      <c r="H21" s="302">
        <f>H20/(Input!$F$94/Input!$C$94)</f>
        <v>397.00103007301522</v>
      </c>
      <c r="I21" s="302">
        <f>I20/(Input!$F$94/Input!$C$94)</f>
        <v>360.91002733910472</v>
      </c>
      <c r="J21" s="302">
        <f>J20/(Input!$F$94/Input!$C$94)</f>
        <v>328.1000248537315</v>
      </c>
      <c r="K21" s="302">
        <f>K20/(Input!$F$94/Input!$C$94)</f>
        <v>298.27274986702861</v>
      </c>
      <c r="L21" s="302">
        <f>L20/(Input!$F$94/Input!$C$94)</f>
        <v>271.15704533366244</v>
      </c>
      <c r="M21" s="302">
        <f>M20/(Input!$F$94/Input!$C$94)</f>
        <v>246.50640484878397</v>
      </c>
      <c r="N21" s="302">
        <f>N20/(Input!$F$94/Input!$C$94)</f>
        <v>224.09673168071271</v>
      </c>
      <c r="O21"/>
      <c r="P21"/>
      <c r="Q21"/>
      <c r="R21" s="9"/>
      <c r="S21" s="202"/>
      <c r="T21" s="202"/>
      <c r="U21" s="202"/>
      <c r="V21" s="202"/>
      <c r="W21" s="202"/>
      <c r="X21" s="202"/>
      <c r="Y21" s="202"/>
      <c r="Z21" s="202"/>
      <c r="AA21" s="202"/>
    </row>
    <row r="22" spans="2:28" s="2" customFormat="1" ht="15.75" thickBot="1" x14ac:dyDescent="0.3">
      <c r="B22" s="399"/>
      <c r="C22" s="315" t="s">
        <v>228</v>
      </c>
      <c r="D22" s="176" t="s">
        <v>219</v>
      </c>
      <c r="E22" s="316">
        <v>0</v>
      </c>
      <c r="F22" s="317">
        <f>F21*Input!$D$99</f>
        <v>0.11336761414765023</v>
      </c>
      <c r="G22" s="317">
        <f>G21*Input!$D$99</f>
        <v>0.10306146740695474</v>
      </c>
      <c r="H22" s="317">
        <f>H21*Input!$D$99</f>
        <v>9.3692243097231592E-2</v>
      </c>
      <c r="I22" s="317">
        <f>I21*Input!$D$99</f>
        <v>8.5174766452028705E-2</v>
      </c>
      <c r="J22" s="317">
        <f>J21*Input!$D$99</f>
        <v>7.7431605865480632E-2</v>
      </c>
      <c r="K22" s="317">
        <f>K21*Input!$D$99</f>
        <v>7.0392368968618751E-2</v>
      </c>
      <c r="L22" s="317">
        <f>L21*Input!$D$99</f>
        <v>6.399306269874433E-2</v>
      </c>
      <c r="M22" s="317">
        <f>M21*Input!$D$99</f>
        <v>5.8175511544313017E-2</v>
      </c>
      <c r="N22" s="317">
        <f>N21*Input!$D$99</f>
        <v>5.28868286766482E-2</v>
      </c>
      <c r="O22"/>
      <c r="P22"/>
      <c r="Q22"/>
      <c r="R22" s="9"/>
      <c r="S22" s="203"/>
      <c r="T22" s="203"/>
      <c r="U22" s="203"/>
      <c r="V22" s="203"/>
      <c r="W22" s="203"/>
      <c r="X22" s="203"/>
      <c r="Y22" s="203"/>
      <c r="Z22" s="203"/>
      <c r="AA22" s="203"/>
    </row>
    <row r="23" spans="2:28" s="2" customFormat="1" x14ac:dyDescent="0.25">
      <c r="B23" s="395" t="s">
        <v>60</v>
      </c>
      <c r="C23" s="318" t="s">
        <v>234</v>
      </c>
      <c r="D23" s="319" t="s">
        <v>219</v>
      </c>
      <c r="E23" s="319" t="s">
        <v>219</v>
      </c>
      <c r="F23" s="320">
        <v>0</v>
      </c>
      <c r="G23" s="320">
        <v>0</v>
      </c>
      <c r="H23" s="320">
        <v>0</v>
      </c>
      <c r="I23" s="320">
        <v>7</v>
      </c>
      <c r="J23" s="320">
        <v>15</v>
      </c>
      <c r="K23" s="320">
        <v>21</v>
      </c>
      <c r="L23" s="320">
        <v>26</v>
      </c>
      <c r="M23" s="320">
        <v>29</v>
      </c>
      <c r="N23" s="320">
        <v>32</v>
      </c>
      <c r="O23"/>
      <c r="P23"/>
      <c r="Q23"/>
      <c r="R23" s="9"/>
    </row>
    <row r="24" spans="2:28" s="2" customFormat="1" x14ac:dyDescent="0.25">
      <c r="B24" s="395"/>
      <c r="C24" s="318" t="s">
        <v>235</v>
      </c>
      <c r="D24" s="319"/>
      <c r="E24" s="319" t="s">
        <v>219</v>
      </c>
      <c r="F24" s="321">
        <f>Input!C46*Input!C48</f>
        <v>0.35000000000000003</v>
      </c>
      <c r="G24" s="321">
        <f>SROI!F24*Input!C47</f>
        <v>0.1225</v>
      </c>
      <c r="H24" s="321">
        <f>G24</f>
        <v>0.1225</v>
      </c>
      <c r="I24" s="321">
        <f t="shared" ref="I24:N24" si="3">H24</f>
        <v>0.1225</v>
      </c>
      <c r="J24" s="321">
        <f t="shared" si="3"/>
        <v>0.1225</v>
      </c>
      <c r="K24" s="321">
        <f t="shared" si="3"/>
        <v>0.1225</v>
      </c>
      <c r="L24" s="321">
        <f t="shared" si="3"/>
        <v>0.1225</v>
      </c>
      <c r="M24" s="321">
        <f t="shared" si="3"/>
        <v>0.1225</v>
      </c>
      <c r="N24" s="321">
        <f t="shared" si="3"/>
        <v>0.1225</v>
      </c>
      <c r="O24"/>
      <c r="P24"/>
      <c r="Q24"/>
      <c r="R24" s="9"/>
    </row>
    <row r="25" spans="2:28" s="1" customFormat="1" x14ac:dyDescent="0.25">
      <c r="B25" s="395"/>
      <c r="C25" s="295" t="s">
        <v>236</v>
      </c>
      <c r="D25" s="322" t="s">
        <v>219</v>
      </c>
      <c r="E25" s="322" t="s">
        <v>219</v>
      </c>
      <c r="F25" s="297">
        <f>F23*Input!G$73*F24</f>
        <v>0</v>
      </c>
      <c r="G25" s="297">
        <f>G23*Input!H$73*G24</f>
        <v>0</v>
      </c>
      <c r="H25" s="297">
        <f>H23*Input!I$73*H24</f>
        <v>0</v>
      </c>
      <c r="I25" s="297">
        <f>I23*Input!J$73*I24</f>
        <v>3430</v>
      </c>
      <c r="J25" s="297">
        <f>J23*Input!K$73*J24</f>
        <v>7350</v>
      </c>
      <c r="K25" s="297">
        <f>K23*Input!L$73*K24</f>
        <v>10290</v>
      </c>
      <c r="L25" s="297">
        <f>L23*Input!M$73*L24</f>
        <v>12740</v>
      </c>
      <c r="M25" s="297">
        <f>M23*Input!N$73*M24</f>
        <v>14210</v>
      </c>
      <c r="N25" s="297">
        <f>N23*Input!O$73*N24</f>
        <v>15680</v>
      </c>
      <c r="O25"/>
      <c r="P25"/>
      <c r="Q25"/>
      <c r="R25" s="9"/>
      <c r="S25" s="294"/>
      <c r="T25" s="294"/>
      <c r="U25" s="294"/>
      <c r="V25" s="294"/>
      <c r="W25" s="294"/>
      <c r="X25" s="294"/>
      <c r="Y25" s="294"/>
      <c r="Z25" s="294"/>
      <c r="AA25" s="294"/>
      <c r="AB25" s="294"/>
    </row>
    <row r="26" spans="2:28" s="1" customFormat="1" x14ac:dyDescent="0.25">
      <c r="B26" s="395"/>
      <c r="C26" s="295" t="s">
        <v>237</v>
      </c>
      <c r="D26" s="296" t="s">
        <v>219</v>
      </c>
      <c r="E26" s="296" t="s">
        <v>219</v>
      </c>
      <c r="F26" s="323">
        <f>0.1*Input!$C$46*Input!$C$48</f>
        <v>3.5000000000000003E-2</v>
      </c>
      <c r="G26" s="324">
        <f>0.1*Input!$C$46*Input!$C$48*Input!$C$47</f>
        <v>1.225E-2</v>
      </c>
      <c r="H26" s="324">
        <f>0.1*Input!$C$46*Input!$C$48*Input!$C$47</f>
        <v>1.225E-2</v>
      </c>
      <c r="I26" s="324">
        <f>0.1*Input!$C$46*Input!$C$48*Input!$C$47</f>
        <v>1.225E-2</v>
      </c>
      <c r="J26" s="324">
        <f>0.3*Input!$C$46*Input!$C$48*Input!$C$47</f>
        <v>3.6749999999999998E-2</v>
      </c>
      <c r="K26" s="324">
        <f>0.3*Input!$C$46*Input!$C$48*Input!$C$47</f>
        <v>3.6749999999999998E-2</v>
      </c>
      <c r="L26" s="324">
        <f>0.3*Input!$C$46*Input!$C$48*Input!$C$47</f>
        <v>3.6749999999999998E-2</v>
      </c>
      <c r="M26" s="324">
        <f>0.3*Input!$C$46*Input!$C$48*Input!$C$47</f>
        <v>3.6749999999999998E-2</v>
      </c>
      <c r="N26" s="324">
        <f>0.3*Input!$C$46*Input!$C$48*Input!$C$47</f>
        <v>3.6749999999999998E-2</v>
      </c>
      <c r="O26"/>
      <c r="P26"/>
      <c r="Q26"/>
      <c r="R26" s="9"/>
      <c r="S26" s="294"/>
      <c r="T26" s="294"/>
      <c r="U26" s="294"/>
      <c r="V26" s="294"/>
      <c r="W26" s="294"/>
      <c r="X26" s="294"/>
      <c r="Y26" s="294"/>
      <c r="Z26" s="294"/>
      <c r="AA26" s="294"/>
      <c r="AB26" s="294"/>
    </row>
    <row r="27" spans="2:28" s="1" customFormat="1" x14ac:dyDescent="0.25">
      <c r="B27" s="395"/>
      <c r="C27" s="295" t="s">
        <v>222</v>
      </c>
      <c r="D27" s="296" t="s">
        <v>219</v>
      </c>
      <c r="E27" s="296" t="s">
        <v>219</v>
      </c>
      <c r="F27" s="297">
        <f>Input!$C$51*F26</f>
        <v>77.000000000000014</v>
      </c>
      <c r="G27" s="297">
        <f>Input!$C$51*G26</f>
        <v>26.95</v>
      </c>
      <c r="H27" s="297">
        <f>Input!$C$51*H26</f>
        <v>26.95</v>
      </c>
      <c r="I27" s="297">
        <f>Input!$C$51*I26</f>
        <v>26.95</v>
      </c>
      <c r="J27" s="297">
        <f>Input!$C$51*J26</f>
        <v>80.849999999999994</v>
      </c>
      <c r="K27" s="297">
        <f>Input!$C$51*K26</f>
        <v>80.849999999999994</v>
      </c>
      <c r="L27" s="297">
        <f>Input!$C$51*L26</f>
        <v>80.849999999999994</v>
      </c>
      <c r="M27" s="297">
        <f>Input!$C$51*M26</f>
        <v>80.849999999999994</v>
      </c>
      <c r="N27" s="297">
        <f>Input!$C$51*N26</f>
        <v>80.849999999999994</v>
      </c>
      <c r="O27"/>
      <c r="P27"/>
      <c r="Q27"/>
      <c r="R27" s="9"/>
      <c r="S27" s="294"/>
      <c r="T27" s="294"/>
      <c r="U27" s="294"/>
      <c r="V27" s="294"/>
      <c r="W27" s="294"/>
      <c r="X27" s="294"/>
      <c r="Y27" s="294"/>
      <c r="Z27" s="294"/>
      <c r="AA27" s="294"/>
      <c r="AB27" s="294"/>
    </row>
    <row r="28" spans="2:28" s="1" customFormat="1" x14ac:dyDescent="0.25">
      <c r="B28" s="395"/>
      <c r="C28" s="295" t="s">
        <v>238</v>
      </c>
      <c r="D28" s="296" t="s">
        <v>219</v>
      </c>
      <c r="E28" s="296" t="s">
        <v>219</v>
      </c>
      <c r="F28" s="297">
        <f>F27+(Input!$C$49*Input!$C$46*Input!$C$48)</f>
        <v>3577</v>
      </c>
      <c r="G28" s="297">
        <f>G27+(Input!$C$48*Input!$C$50*Input!$C$47*Input!$C$46)</f>
        <v>590.45000000000005</v>
      </c>
      <c r="H28" s="297">
        <f>H27+(Input!$C$48*Input!$C$50*Input!$C$47*Input!$C$46)</f>
        <v>590.45000000000005</v>
      </c>
      <c r="I28" s="297">
        <f>I27+(Input!$C$48*Input!$C$50*Input!$C$47*Input!$C$46)</f>
        <v>590.45000000000005</v>
      </c>
      <c r="J28" s="297">
        <f>J27+(Input!$C$48*Input!$C$50*Input!$C$47*Input!$C$46)</f>
        <v>644.35</v>
      </c>
      <c r="K28" s="297">
        <f>K27+(Input!$C$48*Input!$C$50*Input!$C$47*Input!$C$46)</f>
        <v>644.35</v>
      </c>
      <c r="L28" s="297">
        <f>L27+(Input!$C$48*Input!$C$50*Input!$C$47*Input!$C$46)</f>
        <v>644.35</v>
      </c>
      <c r="M28" s="310">
        <f>M27</f>
        <v>80.849999999999994</v>
      </c>
      <c r="N28" s="297">
        <f>N27</f>
        <v>80.849999999999994</v>
      </c>
      <c r="O28"/>
      <c r="P28"/>
      <c r="Q28"/>
      <c r="R28" s="9"/>
      <c r="S28" s="294"/>
      <c r="T28" s="294"/>
      <c r="U28" s="294"/>
      <c r="V28" s="294"/>
      <c r="W28" s="294"/>
      <c r="X28" s="294"/>
      <c r="Y28" s="294"/>
      <c r="Z28" s="294"/>
      <c r="AA28" s="294"/>
      <c r="AB28" s="294"/>
    </row>
    <row r="29" spans="2:28" s="1" customFormat="1" x14ac:dyDescent="0.25">
      <c r="B29" s="395"/>
      <c r="C29" s="300" t="s">
        <v>225</v>
      </c>
      <c r="D29" s="301" t="s">
        <v>219</v>
      </c>
      <c r="E29" s="302">
        <v>0</v>
      </c>
      <c r="F29" s="302">
        <f t="shared" ref="F29:N29" si="4">F25-F28</f>
        <v>-3577</v>
      </c>
      <c r="G29" s="302">
        <f t="shared" si="4"/>
        <v>-590.45000000000005</v>
      </c>
      <c r="H29" s="302">
        <f t="shared" si="4"/>
        <v>-590.45000000000005</v>
      </c>
      <c r="I29" s="302">
        <f t="shared" si="4"/>
        <v>2839.55</v>
      </c>
      <c r="J29" s="302">
        <f t="shared" si="4"/>
        <v>6705.65</v>
      </c>
      <c r="K29" s="302">
        <f t="shared" si="4"/>
        <v>9645.65</v>
      </c>
      <c r="L29" s="302">
        <f t="shared" si="4"/>
        <v>12095.65</v>
      </c>
      <c r="M29" s="302">
        <f t="shared" si="4"/>
        <v>14129.15</v>
      </c>
      <c r="N29" s="302">
        <f t="shared" si="4"/>
        <v>15599.15</v>
      </c>
      <c r="O29"/>
      <c r="P29"/>
      <c r="Q29"/>
      <c r="R29" s="9"/>
      <c r="S29" s="294"/>
      <c r="T29" s="294"/>
      <c r="U29" s="294"/>
      <c r="V29" s="294"/>
      <c r="W29" s="294"/>
      <c r="X29" s="294"/>
      <c r="Y29" s="294"/>
      <c r="Z29" s="294"/>
      <c r="AA29" s="294"/>
      <c r="AB29" s="294"/>
    </row>
    <row r="30" spans="2:28" s="1" customFormat="1" x14ac:dyDescent="0.25">
      <c r="B30" s="395"/>
      <c r="C30" s="300" t="s">
        <v>226</v>
      </c>
      <c r="D30" s="301" t="s">
        <v>219</v>
      </c>
      <c r="E30" s="302">
        <v>0</v>
      </c>
      <c r="F30" s="302">
        <f>F29/(1+Input!$C$12)^(F4-2024)</f>
        <v>-2956.1983471074377</v>
      </c>
      <c r="G30" s="302">
        <f>G29/(1+Input!$C$12)^(G4-2024)</f>
        <v>-443.61382419233649</v>
      </c>
      <c r="H30" s="302">
        <f>H29/(1+Input!$C$12)^(H4-2024)</f>
        <v>-403.2852947203059</v>
      </c>
      <c r="I30" s="302">
        <f>I29/(1+Input!$C$12)^(I4-2024)</f>
        <v>1763.1371428926236</v>
      </c>
      <c r="J30" s="302">
        <f>J29/(1+Input!$C$12)^(J4-2024)</f>
        <v>3785.1646090651107</v>
      </c>
      <c r="K30" s="302">
        <f>K29/(1+Input!$C$12)^(K4-2024)</f>
        <v>4949.7436031120133</v>
      </c>
      <c r="L30" s="302">
        <f>L29/(1+Input!$C$12)^(L4-2024)</f>
        <v>5642.7099934338585</v>
      </c>
      <c r="M30" s="302">
        <f>M29/(1+Input!$C$12)^(M4-2024)</f>
        <v>5992.1388646275918</v>
      </c>
      <c r="N30" s="302">
        <f>N29/(1+Input!$C$12)^(N4-2024)</f>
        <v>6014.1476033046756</v>
      </c>
      <c r="O30"/>
      <c r="P30"/>
      <c r="Q30"/>
      <c r="R30" s="9"/>
      <c r="S30" s="294"/>
      <c r="T30" s="294"/>
      <c r="U30" s="294"/>
      <c r="V30" s="294"/>
      <c r="W30" s="294"/>
      <c r="X30" s="294"/>
      <c r="Y30" s="294"/>
      <c r="Z30" s="294"/>
      <c r="AA30" s="294"/>
      <c r="AB30" s="294"/>
    </row>
    <row r="31" spans="2:28" s="1" customFormat="1" x14ac:dyDescent="0.25">
      <c r="B31" s="395"/>
      <c r="C31" s="300" t="s">
        <v>227</v>
      </c>
      <c r="D31" s="301" t="s">
        <v>219</v>
      </c>
      <c r="E31" s="302">
        <v>0</v>
      </c>
      <c r="F31" s="302">
        <f>F30/(Input!$F$94/Input!$C$94)</f>
        <v>-2537.7190262404552</v>
      </c>
      <c r="G31" s="302">
        <f>G30/(Input!$F$94/Input!$C$94)</f>
        <v>-380.8158688193958</v>
      </c>
      <c r="H31" s="302">
        <f>H30/(Input!$F$94/Input!$C$94)</f>
        <v>-346.19624438126891</v>
      </c>
      <c r="I31" s="302">
        <f>I30/(Input!$F$94/Input!$C$94)</f>
        <v>1513.5475188151288</v>
      </c>
      <c r="J31" s="302">
        <f>J30/(Input!$F$94/Input!$C$94)</f>
        <v>3249.3368570060447</v>
      </c>
      <c r="K31" s="302">
        <f>K30/(Input!$F$94/Input!$C$94)</f>
        <v>4249.0580948061233</v>
      </c>
      <c r="L31" s="302">
        <f>L30/(Input!$F$94/Input!$C$94)</f>
        <v>4843.9281903751889</v>
      </c>
      <c r="M31" s="302">
        <f>M30/(Input!$F$94/Input!$C$94)</f>
        <v>5143.8919244100607</v>
      </c>
      <c r="N31" s="302">
        <f>N30/(Input!$F$94/Input!$C$94)</f>
        <v>5162.7851069121889</v>
      </c>
      <c r="O31"/>
      <c r="P31"/>
      <c r="Q31"/>
      <c r="R31" s="9"/>
      <c r="S31" s="294"/>
      <c r="T31" s="294"/>
      <c r="U31" s="294"/>
      <c r="V31" s="294"/>
      <c r="W31" s="294"/>
      <c r="X31" s="294"/>
      <c r="Y31" s="294"/>
      <c r="Z31" s="294"/>
      <c r="AA31" s="294"/>
      <c r="AB31" s="294"/>
    </row>
    <row r="32" spans="2:28" s="1" customFormat="1" ht="15.75" thickBot="1" x14ac:dyDescent="0.3">
      <c r="B32" s="395"/>
      <c r="C32" s="315" t="s">
        <v>228</v>
      </c>
      <c r="D32" s="301" t="s">
        <v>219</v>
      </c>
      <c r="E32" s="317">
        <v>0</v>
      </c>
      <c r="F32" s="317">
        <f>F31*Input!$D$99</f>
        <v>-0.59890169019274742</v>
      </c>
      <c r="G32" s="317">
        <f>G31*Input!$D$99</f>
        <v>-8.98725450413774E-2</v>
      </c>
      <c r="H32" s="317">
        <f>H31*Input!$D$99</f>
        <v>-8.1702313673979454E-2</v>
      </c>
      <c r="I32" s="317">
        <f>I31*Input!$D$99</f>
        <v>0.35719721444037039</v>
      </c>
      <c r="J32" s="317">
        <f>J31*Input!$D$99</f>
        <v>0.76684349825342657</v>
      </c>
      <c r="K32" s="317">
        <f>K31*Input!$D$99</f>
        <v>1.002777710374245</v>
      </c>
      <c r="L32" s="317">
        <f>L31*Input!$D$99</f>
        <v>1.1431670529285445</v>
      </c>
      <c r="M32" s="317">
        <f>M31*Input!$D$99</f>
        <v>1.2139584941607742</v>
      </c>
      <c r="N32" s="317">
        <f>N31*Input!$D$99</f>
        <v>1.2184172852312765</v>
      </c>
      <c r="O32"/>
      <c r="P32"/>
      <c r="Q32"/>
      <c r="R32" s="9"/>
      <c r="S32" s="294"/>
      <c r="T32" s="294"/>
      <c r="U32" s="294"/>
      <c r="V32" s="294"/>
      <c r="W32" s="294"/>
      <c r="X32" s="294"/>
      <c r="Y32" s="294"/>
      <c r="Z32" s="294"/>
      <c r="AA32" s="294"/>
      <c r="AB32" s="294"/>
    </row>
    <row r="33" spans="2:28" s="1" customFormat="1" x14ac:dyDescent="0.25">
      <c r="B33" s="394" t="s">
        <v>61</v>
      </c>
      <c r="C33" s="325" t="s">
        <v>235</v>
      </c>
      <c r="D33" s="326" t="s">
        <v>219</v>
      </c>
      <c r="E33" s="326" t="s">
        <v>239</v>
      </c>
      <c r="F33" s="162">
        <f>Input!C55*Input!C56</f>
        <v>36</v>
      </c>
      <c r="G33" s="162">
        <f>(F33*Input!C57)+(Input!C55*Input!C56)</f>
        <v>48.6</v>
      </c>
      <c r="H33" s="162">
        <f>(F33*Input!C57)+(Input!C55*Input!C56*Input!C57)</f>
        <v>25.2</v>
      </c>
      <c r="I33" s="162">
        <f t="shared" ref="I33:N33" si="5">H33</f>
        <v>25.2</v>
      </c>
      <c r="J33" s="162">
        <f t="shared" si="5"/>
        <v>25.2</v>
      </c>
      <c r="K33" s="162">
        <f t="shared" si="5"/>
        <v>25.2</v>
      </c>
      <c r="L33" s="162">
        <f t="shared" si="5"/>
        <v>25.2</v>
      </c>
      <c r="M33" s="162">
        <f t="shared" si="5"/>
        <v>25.2</v>
      </c>
      <c r="N33" s="162">
        <f t="shared" si="5"/>
        <v>25.2</v>
      </c>
      <c r="O33"/>
      <c r="P33"/>
      <c r="Q33"/>
      <c r="R33" s="9"/>
      <c r="S33" s="294"/>
      <c r="T33" s="294"/>
      <c r="U33" s="294"/>
      <c r="V33" s="294"/>
      <c r="W33" s="294"/>
      <c r="X33" s="294"/>
      <c r="Y33" s="294"/>
      <c r="Z33" s="294"/>
      <c r="AA33" s="294"/>
      <c r="AB33" s="294"/>
    </row>
    <row r="34" spans="2:28" s="1" customFormat="1" x14ac:dyDescent="0.25">
      <c r="B34" s="395"/>
      <c r="C34" s="318" t="s">
        <v>240</v>
      </c>
      <c r="D34" s="327" t="s">
        <v>219</v>
      </c>
      <c r="E34" s="327" t="s">
        <v>219</v>
      </c>
      <c r="F34" s="163">
        <v>0</v>
      </c>
      <c r="G34" s="163">
        <v>0</v>
      </c>
      <c r="H34" s="163">
        <v>0</v>
      </c>
      <c r="I34" s="163">
        <v>0</v>
      </c>
      <c r="J34" s="163">
        <v>10</v>
      </c>
      <c r="K34" s="163">
        <v>28.51</v>
      </c>
      <c r="L34" s="163">
        <v>28.51</v>
      </c>
      <c r="M34" s="163">
        <v>28.51</v>
      </c>
      <c r="N34" s="163">
        <v>28.51</v>
      </c>
      <c r="O34"/>
      <c r="P34"/>
      <c r="Q34"/>
      <c r="R34" s="9"/>
      <c r="S34" s="294"/>
      <c r="T34" s="294"/>
      <c r="U34" s="294"/>
      <c r="V34" s="294"/>
      <c r="W34" s="294"/>
      <c r="X34" s="294"/>
      <c r="Y34" s="294"/>
      <c r="Z34" s="294"/>
      <c r="AA34" s="294"/>
      <c r="AB34" s="294"/>
    </row>
    <row r="35" spans="2:28" s="1" customFormat="1" x14ac:dyDescent="0.25">
      <c r="B35" s="395"/>
      <c r="C35" s="295" t="s">
        <v>241</v>
      </c>
      <c r="D35" s="164" t="s">
        <v>219</v>
      </c>
      <c r="E35" s="165" t="s">
        <v>219</v>
      </c>
      <c r="F35" s="166">
        <f>0*F33*Input!$C$58</f>
        <v>0</v>
      </c>
      <c r="G35" s="166">
        <f>0*G33*Input!$C$58</f>
        <v>0</v>
      </c>
      <c r="H35" s="166">
        <f>0*H33*Input!$C$58</f>
        <v>0</v>
      </c>
      <c r="I35" s="166">
        <f>I34*I33*Input!$C$58</f>
        <v>0</v>
      </c>
      <c r="J35" s="166">
        <f>J34*J33*Input!$C$58</f>
        <v>91240.076589075034</v>
      </c>
      <c r="K35" s="166">
        <f>K34*K33*Input!$C$58</f>
        <v>260125.45835545292</v>
      </c>
      <c r="L35" s="166">
        <f>L34*L33*Input!$C$58</f>
        <v>260125.45835545292</v>
      </c>
      <c r="M35" s="166">
        <f>M34*M33*Input!$C$58</f>
        <v>260125.45835545292</v>
      </c>
      <c r="N35" s="166">
        <f>N34*N33*Input!$C$58</f>
        <v>260125.45835545292</v>
      </c>
      <c r="O35"/>
      <c r="P35"/>
      <c r="Q35"/>
      <c r="R35" s="9"/>
      <c r="S35" s="294"/>
      <c r="T35" s="294"/>
      <c r="U35" s="294"/>
      <c r="V35" s="294"/>
      <c r="W35" s="294"/>
      <c r="X35" s="294"/>
      <c r="Y35" s="294"/>
      <c r="Z35" s="294"/>
      <c r="AA35" s="294"/>
      <c r="AB35" s="294"/>
    </row>
    <row r="36" spans="2:28" s="1" customFormat="1" x14ac:dyDescent="0.25">
      <c r="B36" s="395"/>
      <c r="C36" s="295" t="s">
        <v>242</v>
      </c>
      <c r="D36" s="164" t="s">
        <v>219</v>
      </c>
      <c r="E36" s="165" t="s">
        <v>219</v>
      </c>
      <c r="F36" s="166">
        <f>0*F33*Input!$C$60</f>
        <v>0</v>
      </c>
      <c r="G36" s="166">
        <f>0*G33*Input!$C$60</f>
        <v>0</v>
      </c>
      <c r="H36" s="166">
        <f>0*H33*Input!$C$60</f>
        <v>0</v>
      </c>
      <c r="I36" s="166">
        <f>0*I33*Input!$C$60</f>
        <v>0</v>
      </c>
      <c r="J36" s="166">
        <f>0*J33*Input!$C$60</f>
        <v>0</v>
      </c>
      <c r="K36" s="166">
        <f>0*K33*Input!$C$60</f>
        <v>0</v>
      </c>
      <c r="L36" s="166">
        <f>0*L33*Input!$C$60</f>
        <v>0</v>
      </c>
      <c r="M36" s="166">
        <f>0*M33*Input!$C$60</f>
        <v>0</v>
      </c>
      <c r="N36" s="166">
        <f>Input!C60*N33</f>
        <v>1750035.1633792287</v>
      </c>
      <c r="O36"/>
      <c r="P36"/>
      <c r="Q36"/>
      <c r="R36" s="9"/>
      <c r="S36" s="294"/>
      <c r="T36" s="294"/>
      <c r="U36" s="294"/>
      <c r="V36" s="294"/>
      <c r="W36" s="294"/>
      <c r="X36" s="294"/>
      <c r="Y36" s="294"/>
      <c r="Z36" s="294"/>
      <c r="AA36" s="294"/>
      <c r="AB36" s="294"/>
    </row>
    <row r="37" spans="2:28" s="1" customFormat="1" x14ac:dyDescent="0.25">
      <c r="B37" s="395"/>
      <c r="C37" s="295" t="s">
        <v>243</v>
      </c>
      <c r="D37" s="164" t="s">
        <v>219</v>
      </c>
      <c r="E37" s="165"/>
      <c r="F37" s="166">
        <f>0*F33*Input!$C$59</f>
        <v>0</v>
      </c>
      <c r="G37" s="166">
        <f>0*G33*Input!$C$59</f>
        <v>0</v>
      </c>
      <c r="H37" s="166">
        <f>0*H33*Input!$C$59</f>
        <v>0</v>
      </c>
      <c r="I37" s="166">
        <f>0*I33*Input!$C$59</f>
        <v>0</v>
      </c>
      <c r="J37" s="166">
        <f>0*J33*Input!$C$59</f>
        <v>0</v>
      </c>
      <c r="K37" s="166">
        <f>0*K33*Input!$C$59</f>
        <v>0</v>
      </c>
      <c r="L37" s="166">
        <f>0*L33*Input!$C$59</f>
        <v>0</v>
      </c>
      <c r="M37" s="166">
        <f>0*M33*Input!$C$59</f>
        <v>0</v>
      </c>
      <c r="N37" s="167">
        <f>N33*Input!$C$59</f>
        <v>398767.53511616623</v>
      </c>
      <c r="O37"/>
      <c r="P37"/>
      <c r="Q37"/>
      <c r="R37" s="9"/>
      <c r="S37" s="294"/>
      <c r="T37" s="294"/>
      <c r="U37" s="294"/>
      <c r="V37" s="294"/>
      <c r="W37" s="294"/>
      <c r="X37" s="294"/>
      <c r="Y37" s="294"/>
      <c r="Z37" s="294"/>
      <c r="AA37" s="294"/>
      <c r="AB37" s="294"/>
    </row>
    <row r="38" spans="2:28" s="1" customFormat="1" x14ac:dyDescent="0.25">
      <c r="B38" s="395"/>
      <c r="C38" s="295" t="s">
        <v>244</v>
      </c>
      <c r="D38" s="165" t="s">
        <v>239</v>
      </c>
      <c r="E38" s="165" t="s">
        <v>239</v>
      </c>
      <c r="F38" s="166">
        <f t="shared" ref="F38:L38" si="6">0.4*3400*F33</f>
        <v>48960</v>
      </c>
      <c r="G38" s="166">
        <f t="shared" si="6"/>
        <v>66096</v>
      </c>
      <c r="H38" s="166">
        <f t="shared" si="6"/>
        <v>34272</v>
      </c>
      <c r="I38" s="166">
        <f t="shared" si="6"/>
        <v>34272</v>
      </c>
      <c r="J38" s="166">
        <f t="shared" si="6"/>
        <v>34272</v>
      </c>
      <c r="K38" s="166">
        <f t="shared" si="6"/>
        <v>34272</v>
      </c>
      <c r="L38" s="166">
        <f t="shared" si="6"/>
        <v>34272</v>
      </c>
      <c r="M38" s="166">
        <f>0.17*3400*M33</f>
        <v>14565.6</v>
      </c>
      <c r="N38" s="166">
        <f>0.17*3400*N33</f>
        <v>14565.6</v>
      </c>
      <c r="O38"/>
      <c r="P38"/>
      <c r="Q38"/>
      <c r="R38" s="9"/>
      <c r="S38" s="294"/>
      <c r="T38" s="294"/>
      <c r="U38" s="294"/>
      <c r="V38" s="294"/>
      <c r="W38" s="294"/>
      <c r="X38" s="294"/>
      <c r="Y38" s="294"/>
      <c r="Z38" s="294"/>
      <c r="AA38" s="294"/>
      <c r="AB38" s="294"/>
    </row>
    <row r="39" spans="2:28" s="1" customFormat="1" x14ac:dyDescent="0.25">
      <c r="B39" s="395"/>
      <c r="C39" s="300" t="s">
        <v>225</v>
      </c>
      <c r="D39" s="301" t="s">
        <v>219</v>
      </c>
      <c r="E39" s="302">
        <v>0</v>
      </c>
      <c r="F39" s="302">
        <f t="shared" ref="F39:N39" si="7">F35+F36+F37-F38</f>
        <v>-48960</v>
      </c>
      <c r="G39" s="302">
        <f t="shared" si="7"/>
        <v>-66096</v>
      </c>
      <c r="H39" s="302">
        <f t="shared" si="7"/>
        <v>-34272</v>
      </c>
      <c r="I39" s="302">
        <f t="shared" si="7"/>
        <v>-34272</v>
      </c>
      <c r="J39" s="302">
        <f t="shared" si="7"/>
        <v>56968.076589075034</v>
      </c>
      <c r="K39" s="302">
        <f t="shared" si="7"/>
        <v>225853.45835545292</v>
      </c>
      <c r="L39" s="302">
        <f t="shared" si="7"/>
        <v>225853.45835545292</v>
      </c>
      <c r="M39" s="302">
        <f t="shared" si="7"/>
        <v>245559.85835545292</v>
      </c>
      <c r="N39" s="302">
        <f t="shared" si="7"/>
        <v>2394362.5568508478</v>
      </c>
      <c r="O39"/>
      <c r="P39"/>
      <c r="Q39"/>
      <c r="R39" s="9"/>
      <c r="S39" s="294"/>
      <c r="T39" s="294"/>
      <c r="U39" s="294"/>
      <c r="V39" s="294"/>
      <c r="W39" s="294"/>
      <c r="X39" s="294"/>
      <c r="Y39" s="294"/>
      <c r="Z39" s="294"/>
      <c r="AA39" s="294"/>
      <c r="AB39" s="294"/>
    </row>
    <row r="40" spans="2:28" s="1" customFormat="1" x14ac:dyDescent="0.25">
      <c r="B40" s="395"/>
      <c r="C40" s="300" t="s">
        <v>226</v>
      </c>
      <c r="D40" s="301" t="s">
        <v>219</v>
      </c>
      <c r="E40" s="302">
        <f>E39/(1+Input!$C$12)^(E4-2024)</f>
        <v>0</v>
      </c>
      <c r="F40" s="302">
        <f>F39/(1+Input!$C$12)^(F4-2024)</f>
        <v>-40462.809917355364</v>
      </c>
      <c r="G40" s="302">
        <f>G39/(1+Input!$C$12)^(G4-2024)</f>
        <v>-49658.903080390672</v>
      </c>
      <c r="H40" s="302">
        <f>H39/(1+Input!$C$12)^(H4-2024)</f>
        <v>-23408.237142271697</v>
      </c>
      <c r="I40" s="302">
        <f>I39/(1+Input!$C$12)^(I4-2024)</f>
        <v>-21280.215583883361</v>
      </c>
      <c r="J40" s="302">
        <f>J39/(1+Input!$C$12)^(J4-2024)</f>
        <v>32156.994079839762</v>
      </c>
      <c r="K40" s="302">
        <f>K39/(1+Input!$C$12)^(K4-2024)</f>
        <v>115898.53568558145</v>
      </c>
      <c r="L40" s="302">
        <f>L39/(1+Input!$C$12)^(L4-2024)</f>
        <v>105362.30516871042</v>
      </c>
      <c r="M40" s="302">
        <f>M39/(1+Input!$C$12)^(M4-2024)</f>
        <v>104141.35109643226</v>
      </c>
      <c r="N40" s="302">
        <f>N39/(1+Input!$C$12)^(N4-2024)</f>
        <v>923130.41625517944</v>
      </c>
      <c r="O40"/>
      <c r="P40"/>
      <c r="Q40"/>
      <c r="R40" s="9"/>
      <c r="S40" s="294"/>
      <c r="T40" s="294"/>
      <c r="U40" s="294"/>
      <c r="V40" s="294"/>
      <c r="W40" s="294"/>
      <c r="X40" s="294"/>
      <c r="Y40" s="294"/>
      <c r="Z40" s="294"/>
      <c r="AA40" s="294"/>
      <c r="AB40" s="294"/>
    </row>
    <row r="41" spans="2:28" s="1" customFormat="1" x14ac:dyDescent="0.25">
      <c r="B41" s="395"/>
      <c r="C41" s="300" t="s">
        <v>227</v>
      </c>
      <c r="D41" s="301" t="s">
        <v>219</v>
      </c>
      <c r="E41" s="302">
        <f>E40/(Input!$L$94/Input!$J$94)</f>
        <v>0</v>
      </c>
      <c r="F41" s="302">
        <f>F40/(Input!$F$94/Input!$C$94)</f>
        <v>-34734.896148932814</v>
      </c>
      <c r="G41" s="302">
        <f>G40/(Input!$F$94/Input!$C$94)</f>
        <v>-42629.190728235721</v>
      </c>
      <c r="H41" s="302">
        <f>H40/(Input!$F$94/Input!$C$94)</f>
        <v>-20094.568020043775</v>
      </c>
      <c r="I41" s="302">
        <f>I40/(Input!$F$94/Input!$C$94)</f>
        <v>-18267.789109130703</v>
      </c>
      <c r="J41" s="302">
        <f>J40/(Input!$F$94/Input!$C$94)</f>
        <v>27604.851272229345</v>
      </c>
      <c r="K41" s="302">
        <f>K40/(Input!$F$94/Input!$C$94)</f>
        <v>99491.943566809394</v>
      </c>
      <c r="L41" s="302">
        <f>L40/(Input!$F$94/Input!$C$94)</f>
        <v>90447.221424372183</v>
      </c>
      <c r="M41" s="302">
        <f>M40/(Input!$F$94/Input!$C$94)</f>
        <v>89399.105562181212</v>
      </c>
      <c r="N41" s="302">
        <f>N40/(Input!$F$94/Input!$C$94)</f>
        <v>792452.11111231998</v>
      </c>
      <c r="O41"/>
      <c r="P41"/>
      <c r="Q41"/>
      <c r="R41" s="9"/>
      <c r="S41" s="294"/>
      <c r="T41" s="294"/>
      <c r="U41" s="294"/>
      <c r="V41" s="294"/>
      <c r="W41" s="294"/>
      <c r="X41" s="294"/>
      <c r="Y41" s="294"/>
      <c r="Z41" s="294"/>
      <c r="AA41" s="294"/>
      <c r="AB41" s="294"/>
    </row>
    <row r="42" spans="2:28" s="1" customFormat="1" ht="15.75" thickBot="1" x14ac:dyDescent="0.3">
      <c r="B42" s="396"/>
      <c r="C42" s="315" t="s">
        <v>228</v>
      </c>
      <c r="D42" s="328" t="s">
        <v>219</v>
      </c>
      <c r="E42" s="317">
        <f>E41*Input!$D$99</f>
        <v>0</v>
      </c>
      <c r="F42" s="317">
        <f>F41*Input!$D$99</f>
        <v>-8.1974354911481431</v>
      </c>
      <c r="G42" s="317">
        <f>G41*Input!$D$99</f>
        <v>-10.060489011863629</v>
      </c>
      <c r="H42" s="317">
        <f>H41*Input!$D$99</f>
        <v>-4.7423180527303304</v>
      </c>
      <c r="I42" s="317">
        <f>I41*Input!$D$99</f>
        <v>-4.3111982297548455</v>
      </c>
      <c r="J42" s="317">
        <f>J41*Input!$D$99</f>
        <v>6.5147449002461251</v>
      </c>
      <c r="K42" s="317">
        <f>K41*Input!$D$99</f>
        <v>23.480098681767014</v>
      </c>
      <c r="L42" s="317">
        <f>L41*Input!$D$99</f>
        <v>21.345544256151832</v>
      </c>
      <c r="M42" s="317">
        <f>M41*Input!$D$99</f>
        <v>21.098188912674765</v>
      </c>
      <c r="N42" s="317">
        <f>N41*Input!$D$99</f>
        <v>187.01869822250751</v>
      </c>
      <c r="O42"/>
      <c r="P42"/>
      <c r="Q42"/>
      <c r="R42" s="9"/>
      <c r="S42" s="294"/>
      <c r="T42" s="294"/>
      <c r="U42" s="294"/>
      <c r="V42" s="294"/>
      <c r="W42" s="294"/>
      <c r="X42" s="294"/>
      <c r="Y42" s="294"/>
      <c r="Z42" s="294"/>
      <c r="AA42" s="294"/>
      <c r="AB42" s="294"/>
    </row>
    <row r="43" spans="2:28" x14ac:dyDescent="0.25">
      <c r="B43" s="378" t="s">
        <v>245</v>
      </c>
      <c r="C43" s="379"/>
      <c r="D43" s="329">
        <v>0</v>
      </c>
      <c r="E43" s="313">
        <f t="shared" ref="E43:M43" si="8">E11+E19+E29+E39</f>
        <v>142993.12287425232</v>
      </c>
      <c r="F43" s="313">
        <f t="shared" si="8"/>
        <v>544147.81644214515</v>
      </c>
      <c r="G43" s="313">
        <f t="shared" si="8"/>
        <v>486601.48762674246</v>
      </c>
      <c r="H43" s="313">
        <f t="shared" si="8"/>
        <v>478196.58096486423</v>
      </c>
      <c r="I43" s="313">
        <f t="shared" si="8"/>
        <v>444334.38448930299</v>
      </c>
      <c r="J43" s="313">
        <f t="shared" si="8"/>
        <v>504870.69494553277</v>
      </c>
      <c r="K43" s="313">
        <f t="shared" si="8"/>
        <v>644649.81080676313</v>
      </c>
      <c r="L43" s="313">
        <f t="shared" si="8"/>
        <v>617392.92231269134</v>
      </c>
      <c r="M43" s="313">
        <f t="shared" si="8"/>
        <v>611594.53667868674</v>
      </c>
      <c r="N43" s="313">
        <f>N11+N19+N29+N39</f>
        <v>2736339.2443913594</v>
      </c>
      <c r="R43" s="9"/>
    </row>
    <row r="44" spans="2:28" x14ac:dyDescent="0.25">
      <c r="B44" s="378" t="s">
        <v>246</v>
      </c>
      <c r="C44" s="379"/>
      <c r="D44" s="329">
        <v>0</v>
      </c>
      <c r="E44" s="313">
        <f t="shared" ref="E44:N44" si="9">E13+E21+E31+E41</f>
        <v>111591.83824251672</v>
      </c>
      <c r="F44" s="313">
        <f t="shared" si="9"/>
        <v>386048.15959531185</v>
      </c>
      <c r="G44" s="313">
        <f t="shared" si="9"/>
        <v>313837.8665075592</v>
      </c>
      <c r="H44" s="313">
        <f t="shared" si="9"/>
        <v>280379.13524599775</v>
      </c>
      <c r="I44" s="313">
        <f t="shared" si="9"/>
        <v>236840.7688429617</v>
      </c>
      <c r="J44" s="313">
        <f t="shared" si="9"/>
        <v>244643.68959143036</v>
      </c>
      <c r="K44" s="313">
        <f t="shared" si="9"/>
        <v>283978.2178415879</v>
      </c>
      <c r="L44" s="313">
        <f t="shared" si="9"/>
        <v>247246.4878637002</v>
      </c>
      <c r="M44" s="313">
        <f t="shared" si="9"/>
        <v>222658.5603687985</v>
      </c>
      <c r="N44" s="313">
        <f t="shared" si="9"/>
        <v>905634.69794207136</v>
      </c>
      <c r="R44" s="9"/>
    </row>
    <row r="45" spans="2:28" x14ac:dyDescent="0.25">
      <c r="B45" s="383" t="s">
        <v>247</v>
      </c>
      <c r="C45" s="383"/>
      <c r="D45" s="330">
        <v>0</v>
      </c>
      <c r="E45" s="313">
        <f t="shared" ref="E45:N45" si="10">E14+E22+E32+E42</f>
        <v>26.335673825233947</v>
      </c>
      <c r="F45" s="313">
        <f t="shared" si="10"/>
        <v>91.107365664493599</v>
      </c>
      <c r="G45" s="313">
        <f t="shared" si="10"/>
        <v>74.065736495783995</v>
      </c>
      <c r="H45" s="313">
        <f t="shared" si="10"/>
        <v>66.169475918055468</v>
      </c>
      <c r="I45" s="313">
        <f t="shared" si="10"/>
        <v>55.894421446938964</v>
      </c>
      <c r="J45" s="313">
        <f t="shared" si="10"/>
        <v>57.735910743577563</v>
      </c>
      <c r="K45" s="313">
        <f t="shared" si="10"/>
        <v>67.018859410614752</v>
      </c>
      <c r="L45" s="313">
        <f t="shared" si="10"/>
        <v>58.350171135833243</v>
      </c>
      <c r="M45" s="313">
        <f t="shared" si="10"/>
        <v>52.547420247036442</v>
      </c>
      <c r="N45" s="313">
        <f t="shared" si="10"/>
        <v>213.72978871432883</v>
      </c>
      <c r="R45" s="9"/>
    </row>
    <row r="46" spans="2:28" x14ac:dyDescent="0.25">
      <c r="R46" s="9"/>
    </row>
    <row r="47" spans="2:28" hidden="1" x14ac:dyDescent="0.25">
      <c r="B47" s="388" t="s">
        <v>248</v>
      </c>
      <c r="C47" s="389"/>
      <c r="D47" s="370">
        <f>SUM(D45:N45)</f>
        <v>762.95482360189681</v>
      </c>
      <c r="E47" s="371"/>
      <c r="F47" s="372"/>
      <c r="R47" s="9"/>
    </row>
    <row r="48" spans="2:28" ht="18.95" hidden="1" customHeight="1" x14ac:dyDescent="0.25">
      <c r="B48" s="390"/>
      <c r="C48" s="391"/>
      <c r="D48" s="373"/>
      <c r="E48" s="374"/>
      <c r="F48" s="375"/>
      <c r="R48" s="9"/>
    </row>
    <row r="49" spans="2:18" hidden="1" x14ac:dyDescent="0.25">
      <c r="B49" s="168"/>
      <c r="R49" s="9"/>
    </row>
    <row r="50" spans="2:18" x14ac:dyDescent="0.25">
      <c r="B50" s="168"/>
      <c r="R50" s="9"/>
    </row>
    <row r="51" spans="2:18" ht="20.25" x14ac:dyDescent="0.3">
      <c r="B51" s="173" t="s">
        <v>57</v>
      </c>
      <c r="R51" s="9"/>
    </row>
    <row r="52" spans="2:18" ht="15.75" x14ac:dyDescent="0.25">
      <c r="B52" s="3" t="s">
        <v>167</v>
      </c>
      <c r="C52" s="4"/>
      <c r="D52" s="178">
        <v>2024</v>
      </c>
      <c r="E52" s="178">
        <v>2025</v>
      </c>
      <c r="F52" s="178">
        <v>2026</v>
      </c>
      <c r="G52" s="178">
        <v>2027</v>
      </c>
      <c r="H52" s="178">
        <v>2028</v>
      </c>
      <c r="I52" s="178">
        <v>2029</v>
      </c>
      <c r="J52" s="178">
        <v>2030</v>
      </c>
      <c r="K52" s="178">
        <v>2031</v>
      </c>
      <c r="L52" s="178">
        <v>2032</v>
      </c>
      <c r="M52" s="178">
        <v>2033</v>
      </c>
      <c r="R52" s="9"/>
    </row>
    <row r="53" spans="2:18" x14ac:dyDescent="0.25">
      <c r="B53" s="397" t="s">
        <v>217</v>
      </c>
      <c r="C53" s="295" t="s">
        <v>218</v>
      </c>
      <c r="D53" s="296">
        <f>Input!I22*Input!C25</f>
        <v>20.79</v>
      </c>
      <c r="E53" s="296">
        <f>Input!$I$22*Input!$C$26</f>
        <v>103.95</v>
      </c>
      <c r="F53" s="296">
        <f>E53+E53*Input!$C$76</f>
        <v>96.361649999999997</v>
      </c>
      <c r="G53" s="296">
        <f>F53+F53*Input!$C$76</f>
        <v>89.327249550000005</v>
      </c>
      <c r="H53" s="296">
        <f>G53+G53*Input!$C$76</f>
        <v>82.806360332850005</v>
      </c>
      <c r="I53" s="296">
        <f>H53+H53*Input!$C$76</f>
        <v>76.76149602855196</v>
      </c>
      <c r="J53" s="296">
        <f>I53+I53*Input!$C$76</f>
        <v>71.157906818467666</v>
      </c>
      <c r="K53" s="296">
        <f>J53+J53*Input!$C$76</f>
        <v>65.963379620719522</v>
      </c>
      <c r="L53" s="296">
        <f>K53+K53*Input!$C$76</f>
        <v>61.148052908406996</v>
      </c>
      <c r="M53" s="296">
        <f>L53+L53*Input!$C$76</f>
        <v>56.684245046093288</v>
      </c>
      <c r="R53" s="9"/>
    </row>
    <row r="54" spans="2:18" x14ac:dyDescent="0.25">
      <c r="B54" s="397"/>
      <c r="C54" s="295" t="s">
        <v>220</v>
      </c>
      <c r="D54" s="297">
        <f>Input!$C$23*D53</f>
        <v>906.42955668989464</v>
      </c>
      <c r="E54" s="297">
        <f>Input!$C$23*E53</f>
        <v>4532.1477834494735</v>
      </c>
      <c r="F54" s="297">
        <f>Input!$C$23*F53</f>
        <v>4201.3009952576622</v>
      </c>
      <c r="G54" s="297">
        <f>Input!$C$23*G53</f>
        <v>3894.606022603853</v>
      </c>
      <c r="H54" s="297">
        <f>Input!$C$23*H53</f>
        <v>3610.2997829537717</v>
      </c>
      <c r="I54" s="297">
        <f>Input!$C$23*I53</f>
        <v>3346.7478987981467</v>
      </c>
      <c r="J54" s="297">
        <f>Input!$C$23*J53</f>
        <v>3102.4353021858819</v>
      </c>
      <c r="K54" s="297">
        <f>Input!$C$23*K53</f>
        <v>2875.9575251263122</v>
      </c>
      <c r="L54" s="297">
        <f>Input!$C$23*L53</f>
        <v>2666.0126257920915</v>
      </c>
      <c r="M54" s="297">
        <f>Input!$C$23*M53</f>
        <v>2471.393704109269</v>
      </c>
      <c r="R54" s="9"/>
    </row>
    <row r="55" spans="2:18" x14ac:dyDescent="0.25">
      <c r="B55" s="397"/>
      <c r="C55" s="295" t="s">
        <v>221</v>
      </c>
      <c r="D55" s="331">
        <v>0.05</v>
      </c>
      <c r="E55" s="331">
        <v>0.05</v>
      </c>
      <c r="F55" s="298">
        <f>E55+(E55*Input!$C$76)</f>
        <v>4.6350000000000002E-2</v>
      </c>
      <c r="G55" s="298">
        <f>F55+(F55*Input!$C$76)</f>
        <v>4.2966450000000003E-2</v>
      </c>
      <c r="H55" s="298">
        <f>G55+(G55*Input!$C$76)</f>
        <v>3.982989915E-2</v>
      </c>
      <c r="I55" s="298">
        <f>H55+(H55*Input!$C$76)</f>
        <v>3.6922316512050003E-2</v>
      </c>
      <c r="J55" s="298">
        <f>I55+(I55*Input!$C$76)</f>
        <v>3.4226987406670351E-2</v>
      </c>
      <c r="K55" s="298">
        <f>J55+(J55*Input!$C$76)</f>
        <v>3.1728417325983416E-2</v>
      </c>
      <c r="L55" s="298">
        <f>K55+(K55*Input!$C$76)</f>
        <v>2.9412242861186627E-2</v>
      </c>
      <c r="M55" s="298">
        <f>L55+(L55*Input!$C$76)</f>
        <v>2.7265149132320005E-2</v>
      </c>
      <c r="R55" s="9"/>
    </row>
    <row r="56" spans="2:18" x14ac:dyDescent="0.25">
      <c r="B56" s="397"/>
      <c r="C56" s="295" t="s">
        <v>222</v>
      </c>
      <c r="D56" s="297">
        <f>Input!$C$24*D55*Input!$I$18</f>
        <v>2502.5892293501697</v>
      </c>
      <c r="E56" s="297">
        <f>Input!$C$24*E55*Input!$I$18</f>
        <v>2502.5892293501697</v>
      </c>
      <c r="F56" s="297">
        <f>Input!$C$24*F55*Input!$I$18</f>
        <v>2319.9002156076076</v>
      </c>
      <c r="G56" s="297">
        <f>Input!$C$24*G55*Input!$I$18</f>
        <v>2150.5474998682525</v>
      </c>
      <c r="H56" s="297">
        <f>Input!$C$24*H55*Input!$I$18</f>
        <v>1993.5575323778698</v>
      </c>
      <c r="I56" s="297">
        <f>Input!$C$24*I55*Input!$I$18</f>
        <v>1848.0278325142854</v>
      </c>
      <c r="J56" s="297">
        <f>Input!$C$24*J55*Input!$I$18</f>
        <v>1713.1218007407424</v>
      </c>
      <c r="K56" s="297">
        <f>Input!$C$24*K55*Input!$I$18</f>
        <v>1588.0639092866684</v>
      </c>
      <c r="L56" s="297">
        <f>Input!$C$24*L55*Input!$I$18</f>
        <v>1472.1352439087414</v>
      </c>
      <c r="M56" s="297">
        <f>Input!$C$24*M55*Input!$I$18</f>
        <v>1364.6693711034034</v>
      </c>
      <c r="R56" s="9"/>
    </row>
    <row r="57" spans="2:18" x14ac:dyDescent="0.25">
      <c r="B57" s="397"/>
      <c r="C57" s="295" t="s">
        <v>223</v>
      </c>
      <c r="D57" s="297">
        <f>D53*Input!F$67</f>
        <v>42266.07</v>
      </c>
      <c r="E57" s="297">
        <f>E53*Input!G$67</f>
        <v>246312.37953529748</v>
      </c>
      <c r="F57" s="297">
        <f>F53*Input!H$67</f>
        <v>186597.55546675072</v>
      </c>
      <c r="G57" s="297">
        <f>G53*Input!I$67</f>
        <v>172975.93391767793</v>
      </c>
      <c r="H57" s="297">
        <f>H53*Input!J$67</f>
        <v>160348.69074168746</v>
      </c>
      <c r="I57" s="297">
        <f>I53*Input!K$67</f>
        <v>148643.23631754427</v>
      </c>
      <c r="J57" s="297">
        <f>J53*Input!L$67</f>
        <v>137792.28006636354</v>
      </c>
      <c r="K57" s="297">
        <f>K53*Input!M$67</f>
        <v>127733.44362151899</v>
      </c>
      <c r="L57" s="297">
        <f>L53*Input!N$67</f>
        <v>118408.9022371481</v>
      </c>
      <c r="M57" s="297">
        <f>M53*Input!O$67</f>
        <v>109765.0523738363</v>
      </c>
      <c r="R57" s="9"/>
    </row>
    <row r="58" spans="2:18" x14ac:dyDescent="0.25">
      <c r="B58" s="397"/>
      <c r="C58" s="295" t="s">
        <v>224</v>
      </c>
      <c r="D58" s="297">
        <v>0</v>
      </c>
      <c r="E58" s="297">
        <f>Input!$C$27*Input!$C$29*Input!G$67*(Input!$I$22+E53)*Input!$C$28</f>
        <v>738.93713860589276</v>
      </c>
      <c r="F58" s="297">
        <f>Input!$C$27*Input!$C$29*Input!H$67*(Input!$I$22+F53)*Input!$C$28</f>
        <v>596.52843109570222</v>
      </c>
      <c r="G58" s="297">
        <f>Input!$C$27*Input!$C$29*Input!I$67*(Input!$I$22+G53)*Input!$C$28</f>
        <v>589.71762032116578</v>
      </c>
      <c r="H58" s="297">
        <f>Input!$C$27*Input!$C$29*Input!J$67*(Input!$I$22+H53)*Input!$C$28</f>
        <v>583.40399873317051</v>
      </c>
      <c r="I58" s="297">
        <f>Input!$C$27*Input!$C$29*Input!K$67*(Input!$I$22+I53)*Input!$C$28</f>
        <v>577.5512715210989</v>
      </c>
      <c r="J58" s="297">
        <f>Input!$C$27*Input!$C$29*Input!L$67*(Input!$I$22+J53)*Input!$C$28</f>
        <v>572.12579339550848</v>
      </c>
      <c r="K58" s="297">
        <f>Input!$C$27*Input!$C$29*Input!M$67*(Input!$I$22+K53)*Input!$C$28</f>
        <v>567.09637517308624</v>
      </c>
      <c r="L58" s="297">
        <f>Input!$C$27*Input!$C$29*Input!N$67*(Input!$I$22+L53)*Input!$C$28</f>
        <v>562.43410448090083</v>
      </c>
      <c r="M58" s="297">
        <f>Input!$C$27*Input!$C$29*Input!O$67*(Input!$I$22+M53)*Input!$C$28</f>
        <v>558.11217954924496</v>
      </c>
      <c r="R58" s="9"/>
    </row>
    <row r="59" spans="2:18" x14ac:dyDescent="0.25">
      <c r="B59" s="397"/>
      <c r="C59" s="300" t="s">
        <v>225</v>
      </c>
      <c r="D59" s="302">
        <f t="shared" ref="D59:M59" si="11">D57+D58-D56-D54</f>
        <v>38857.051213959938</v>
      </c>
      <c r="E59" s="302">
        <f t="shared" si="11"/>
        <v>240016.57966110372</v>
      </c>
      <c r="F59" s="302">
        <f t="shared" si="11"/>
        <v>180672.88268698117</v>
      </c>
      <c r="G59" s="302">
        <f t="shared" si="11"/>
        <v>167520.498015527</v>
      </c>
      <c r="H59" s="302">
        <f t="shared" si="11"/>
        <v>155328.237425089</v>
      </c>
      <c r="I59" s="302">
        <f t="shared" si="11"/>
        <v>144026.01185775295</v>
      </c>
      <c r="J59" s="302">
        <f t="shared" si="11"/>
        <v>133548.84875683242</v>
      </c>
      <c r="K59" s="302">
        <f t="shared" si="11"/>
        <v>123836.5185622791</v>
      </c>
      <c r="L59" s="302">
        <f t="shared" si="11"/>
        <v>114833.18847192817</v>
      </c>
      <c r="M59" s="302">
        <f t="shared" si="11"/>
        <v>106487.10147817287</v>
      </c>
      <c r="R59" s="9"/>
    </row>
    <row r="60" spans="2:18" x14ac:dyDescent="0.25">
      <c r="B60" s="397"/>
      <c r="C60" s="300" t="s">
        <v>226</v>
      </c>
      <c r="D60" s="302">
        <f>D59/(1+Input!$C$12)^(D52-2024)</f>
        <v>38857.051213959938</v>
      </c>
      <c r="E60" s="302">
        <f>E59/(1+Input!$C$12)^(E52-2024)</f>
        <v>218196.89060100337</v>
      </c>
      <c r="F60" s="302">
        <f>F59/(1+Input!$C$12)^(F52-2024)</f>
        <v>149316.4319727117</v>
      </c>
      <c r="G60" s="302">
        <f>G59/(1+Input!$C$12)^(G52-2024)</f>
        <v>125860.62961346879</v>
      </c>
      <c r="H60" s="302">
        <f>H59/(1+Input!$C$12)^(H52-2024)</f>
        <v>106091.2761594761</v>
      </c>
      <c r="I60" s="302">
        <f>I59/(1+Input!$C$12)^(I52-2024)</f>
        <v>89428.821837649506</v>
      </c>
      <c r="J60" s="302">
        <f>J59/(1+Input!$C$12)^(J52-2024)</f>
        <v>75384.843511926694</v>
      </c>
      <c r="K60" s="302">
        <f>K59/(1+Input!$C$12)^(K52-2024)</f>
        <v>63547.714833661092</v>
      </c>
      <c r="L60" s="302">
        <f>L59/(1+Input!$C$12)^(L52-2024)</f>
        <v>53570.52991516974</v>
      </c>
      <c r="M60" s="302">
        <f>M59/(1+Input!$C$12)^(M52-2024)</f>
        <v>45160.926124282203</v>
      </c>
      <c r="R60" s="9"/>
    </row>
    <row r="61" spans="2:18" x14ac:dyDescent="0.25">
      <c r="B61" s="397"/>
      <c r="C61" s="300" t="s">
        <v>227</v>
      </c>
      <c r="D61" s="302">
        <f>D60/(Input!$F$94/Input!$C$94)</f>
        <v>33356.44858395632</v>
      </c>
      <c r="E61" s="302">
        <f>E60/(Input!$F$94/Input!$C$94)</f>
        <v>187308.94741432901</v>
      </c>
      <c r="F61" s="302">
        <f>F60/(Input!$F$94/Input!$C$94)</f>
        <v>128179.20377983278</v>
      </c>
      <c r="G61" s="302">
        <f>G60/(Input!$F$94/Input!$C$94)</f>
        <v>108043.80387304731</v>
      </c>
      <c r="H61" s="302">
        <f>H60/(Input!$F$94/Input!$C$94)</f>
        <v>91072.999310573054</v>
      </c>
      <c r="I61" s="302">
        <f>I60/(Input!$F$94/Input!$C$94)</f>
        <v>76769.281362237074</v>
      </c>
      <c r="J61" s="302">
        <f>J60/(Input!$F$94/Input!$C$94)</f>
        <v>64713.368051762547</v>
      </c>
      <c r="K61" s="302">
        <f>K60/(Input!$F$94/Input!$C$94)</f>
        <v>54551.902840105206</v>
      </c>
      <c r="L61" s="302">
        <f>L60/(Input!$F$94/Input!$C$94)</f>
        <v>45987.087823295158</v>
      </c>
      <c r="M61" s="302">
        <f>M60/(Input!$F$94/Input!$C$94)</f>
        <v>38767.94721178613</v>
      </c>
      <c r="R61" s="9"/>
    </row>
    <row r="62" spans="2:18" ht="15.75" thickBot="1" x14ac:dyDescent="0.3">
      <c r="B62" s="397"/>
      <c r="C62" s="303" t="s">
        <v>228</v>
      </c>
      <c r="D62" s="304">
        <f>D61*Input!$D$99</f>
        <v>7.8721218658136909</v>
      </c>
      <c r="E62" s="304">
        <f>E61*Input!$D$99</f>
        <v>44.204911589781645</v>
      </c>
      <c r="F62" s="304">
        <f>F61*Input!$D$99</f>
        <v>30.250292092040535</v>
      </c>
      <c r="G62" s="304">
        <f>G61*Input!$D$99</f>
        <v>25.498337714039163</v>
      </c>
      <c r="H62" s="304">
        <f>H61*Input!$D$99</f>
        <v>21.49322783729524</v>
      </c>
      <c r="I62" s="304">
        <f>I61*Input!$D$99</f>
        <v>18.11755040148795</v>
      </c>
      <c r="J62" s="304">
        <f>J61*Input!$D$99</f>
        <v>15.272354860215961</v>
      </c>
      <c r="K62" s="304">
        <f>K61*Input!$D$99</f>
        <v>12.874249070264828</v>
      </c>
      <c r="L62" s="304">
        <f>L61*Input!$D$99</f>
        <v>10.852952726297657</v>
      </c>
      <c r="M62" s="304">
        <f>M61*Input!$D$99</f>
        <v>9.1492355419815254</v>
      </c>
      <c r="R62" s="9"/>
    </row>
    <row r="63" spans="2:18" x14ac:dyDescent="0.25">
      <c r="B63" s="398" t="s">
        <v>59</v>
      </c>
      <c r="C63" s="305" t="s">
        <v>229</v>
      </c>
      <c r="D63" s="307" t="s">
        <v>219</v>
      </c>
      <c r="E63" s="307">
        <f>Input!$C$37*Input!$C$41*Input!$I$35</f>
        <v>76602.13141229203</v>
      </c>
      <c r="F63" s="307">
        <f>Input!$C$37*Input!$C$41*Input!$I$35</f>
        <v>76602.13141229203</v>
      </c>
      <c r="G63" s="307">
        <f>Input!$C$37*Input!$C$41*Input!$I$35</f>
        <v>76602.13141229203</v>
      </c>
      <c r="H63" s="307">
        <f>Input!$C$37*Input!$C$41*Input!$I$35</f>
        <v>76602.13141229203</v>
      </c>
      <c r="I63" s="307">
        <f>Input!$C$37*Input!$C$41*Input!$I$35</f>
        <v>76602.13141229203</v>
      </c>
      <c r="J63" s="307">
        <f>Input!$C$37*Input!$C$41*Input!$I$35</f>
        <v>76602.13141229203</v>
      </c>
      <c r="K63" s="307">
        <f>Input!$C$37*Input!$C$41*Input!$I$35</f>
        <v>76602.13141229203</v>
      </c>
      <c r="L63" s="307">
        <f>Input!$C$37*Input!$C$41*Input!$I$35</f>
        <v>76602.13141229203</v>
      </c>
      <c r="M63" s="307">
        <f>Input!$C$37*Input!$C$41*Input!$I$35</f>
        <v>76602.13141229203</v>
      </c>
      <c r="R63" s="9"/>
    </row>
    <row r="64" spans="2:18" x14ac:dyDescent="0.25">
      <c r="B64" s="397"/>
      <c r="C64" s="308" t="s">
        <v>230</v>
      </c>
      <c r="D64" s="310" t="s">
        <v>219</v>
      </c>
      <c r="E64" s="310">
        <f>Input!$C$40*Input!$C$41*Input!$I$35</f>
        <v>32226.370815700491</v>
      </c>
      <c r="F64" s="310">
        <f>Input!$C$40*Input!$C$41*Input!$I$35</f>
        <v>32226.370815700491</v>
      </c>
      <c r="G64" s="310">
        <f>Input!$C$40*Input!$C$41*Input!$I$35</f>
        <v>32226.370815700491</v>
      </c>
      <c r="H64" s="310">
        <f>Input!$C$40*Input!$C$41*Input!$I$35</f>
        <v>32226.370815700491</v>
      </c>
      <c r="I64" s="310">
        <f>Input!$C$40*Input!$C$41*Input!$I$35</f>
        <v>32226.370815700491</v>
      </c>
      <c r="J64" s="310">
        <f>Input!$C$40*Input!$C$41*Input!$I$35</f>
        <v>32226.370815700491</v>
      </c>
      <c r="K64" s="310">
        <f>Input!$C$40*Input!$C$41*Input!$I$35</f>
        <v>32226.370815700491</v>
      </c>
      <c r="L64" s="310">
        <f>Input!$C$40*Input!$C$41*Input!$I$35</f>
        <v>32226.370815700491</v>
      </c>
      <c r="M64" s="310">
        <f>Input!$C$40*Input!$C$41*Input!$I$35</f>
        <v>32226.370815700491</v>
      </c>
      <c r="R64" s="9"/>
    </row>
    <row r="65" spans="2:18" x14ac:dyDescent="0.25">
      <c r="B65" s="397"/>
      <c r="C65" s="308" t="s">
        <v>231</v>
      </c>
      <c r="D65" s="310" t="s">
        <v>219</v>
      </c>
      <c r="E65" s="310">
        <f t="shared" ref="E65:M65" si="12">E63-E64</f>
        <v>44375.760596591543</v>
      </c>
      <c r="F65" s="310">
        <f t="shared" si="12"/>
        <v>44375.760596591543</v>
      </c>
      <c r="G65" s="310">
        <f t="shared" si="12"/>
        <v>44375.760596591543</v>
      </c>
      <c r="H65" s="310">
        <f t="shared" si="12"/>
        <v>44375.760596591543</v>
      </c>
      <c r="I65" s="310">
        <f t="shared" si="12"/>
        <v>44375.760596591543</v>
      </c>
      <c r="J65" s="310">
        <f t="shared" si="12"/>
        <v>44375.760596591543</v>
      </c>
      <c r="K65" s="310">
        <f t="shared" si="12"/>
        <v>44375.760596591543</v>
      </c>
      <c r="L65" s="310">
        <f t="shared" si="12"/>
        <v>44375.760596591543</v>
      </c>
      <c r="M65" s="310">
        <f t="shared" si="12"/>
        <v>44375.760596591543</v>
      </c>
      <c r="R65" s="9"/>
    </row>
    <row r="66" spans="2:18" x14ac:dyDescent="0.25">
      <c r="B66" s="397"/>
      <c r="C66" s="308" t="s">
        <v>232</v>
      </c>
      <c r="D66" s="310" t="s">
        <v>219</v>
      </c>
      <c r="E66" s="310">
        <f>Input!$C$42*Input!$C$41*Input!$I$35</f>
        <v>43498.033992540048</v>
      </c>
      <c r="F66" s="310">
        <f>Input!$C$42*Input!$C$41*Input!$I$35</f>
        <v>43498.033992540048</v>
      </c>
      <c r="G66" s="310">
        <f>Input!$C$42*Input!$C$41*Input!$I$35</f>
        <v>43498.033992540048</v>
      </c>
      <c r="H66" s="310">
        <f>Input!$C$42*Input!$C$41*Input!$I$35</f>
        <v>43498.033992540048</v>
      </c>
      <c r="I66" s="310">
        <f>Input!$C$42*Input!$C$41*Input!$I$35</f>
        <v>43498.033992540048</v>
      </c>
      <c r="J66" s="310">
        <f>Input!$C$42*Input!$C$41*Input!$I$35</f>
        <v>43498.033992540048</v>
      </c>
      <c r="K66" s="310">
        <f>Input!$C$42*Input!$C$41*Input!$I$35</f>
        <v>43498.033992540048</v>
      </c>
      <c r="L66" s="310">
        <f>Input!$C$42*Input!$C$41*Input!$I$35</f>
        <v>43498.033992540048</v>
      </c>
      <c r="M66" s="310">
        <f>Input!$C$42*Input!$C$41*Input!$I$35</f>
        <v>43498.033992540048</v>
      </c>
      <c r="R66" s="9"/>
    </row>
    <row r="67" spans="2:18" x14ac:dyDescent="0.25">
      <c r="B67" s="397"/>
      <c r="C67" s="300" t="s">
        <v>225</v>
      </c>
      <c r="D67" s="314">
        <v>0</v>
      </c>
      <c r="E67" s="314">
        <f t="shared" ref="E67:M67" si="13">E65-E66</f>
        <v>877.72660405149509</v>
      </c>
      <c r="F67" s="314">
        <f t="shared" si="13"/>
        <v>877.72660405149509</v>
      </c>
      <c r="G67" s="314">
        <f t="shared" si="13"/>
        <v>877.72660405149509</v>
      </c>
      <c r="H67" s="314">
        <f t="shared" si="13"/>
        <v>877.72660405149509</v>
      </c>
      <c r="I67" s="314">
        <f t="shared" si="13"/>
        <v>877.72660405149509</v>
      </c>
      <c r="J67" s="314">
        <f t="shared" si="13"/>
        <v>877.72660405149509</v>
      </c>
      <c r="K67" s="314">
        <f t="shared" si="13"/>
        <v>877.72660405149509</v>
      </c>
      <c r="L67" s="314">
        <f t="shared" si="13"/>
        <v>877.72660405149509</v>
      </c>
      <c r="M67" s="314">
        <f t="shared" si="13"/>
        <v>877.72660405149509</v>
      </c>
      <c r="R67" s="9"/>
    </row>
    <row r="68" spans="2:18" x14ac:dyDescent="0.25">
      <c r="B68" s="397"/>
      <c r="C68" s="300" t="s">
        <v>233</v>
      </c>
      <c r="D68" s="302">
        <v>0</v>
      </c>
      <c r="E68" s="302">
        <f>E67/(1+Input!$C$12)^(E52-2024)</f>
        <v>797.93327641045005</v>
      </c>
      <c r="F68" s="302">
        <f>F67/(1+Input!$C$12)^(F52-2024)</f>
        <v>725.39388764586363</v>
      </c>
      <c r="G68" s="302">
        <f>G67/(1+Input!$C$12)^(G52-2024)</f>
        <v>659.44898876896684</v>
      </c>
      <c r="H68" s="302">
        <f>H67/(1+Input!$C$12)^(H52-2024)</f>
        <v>599.49908069906076</v>
      </c>
      <c r="I68" s="302">
        <f>I67/(1+Input!$C$12)^(I52-2024)</f>
        <v>544.99916427187338</v>
      </c>
      <c r="J68" s="302">
        <f>J67/(1+Input!$C$12)^(J52-2024)</f>
        <v>495.453785701703</v>
      </c>
      <c r="K68" s="302">
        <f>K67/(1+Input!$C$12)^(K52-2024)</f>
        <v>450.41253245609357</v>
      </c>
      <c r="L68" s="302">
        <f>L67/(1+Input!$C$12)^(L52-2024)</f>
        <v>409.46593859644872</v>
      </c>
      <c r="M68" s="302">
        <f>M67/(1+Input!$C$12)^(M52-2024)</f>
        <v>372.2417623604079</v>
      </c>
      <c r="R68" s="9"/>
    </row>
    <row r="69" spans="2:18" x14ac:dyDescent="0.25">
      <c r="B69" s="397"/>
      <c r="C69" s="300" t="s">
        <v>227</v>
      </c>
      <c r="D69" s="302">
        <v>0</v>
      </c>
      <c r="E69" s="302">
        <f>E68/(Input!$F$94/Input!$C$94)</f>
        <v>684.97787342264246</v>
      </c>
      <c r="F69" s="302">
        <f>F68/(Input!$F$94/Input!$C$94)</f>
        <v>622.70715765694763</v>
      </c>
      <c r="G69" s="302">
        <f>G68/(Input!$F$94/Input!$C$94)</f>
        <v>566.09741605177044</v>
      </c>
      <c r="H69" s="302">
        <f>H68/(Input!$F$94/Input!$C$94)</f>
        <v>514.63401459251861</v>
      </c>
      <c r="I69" s="302">
        <f>I68/(Input!$F$94/Input!$C$94)</f>
        <v>467.84910417501692</v>
      </c>
      <c r="J69" s="302">
        <f>J68/(Input!$F$94/Input!$C$94)</f>
        <v>425.31736743183347</v>
      </c>
      <c r="K69" s="302">
        <f>K68/(Input!$F$94/Input!$C$94)</f>
        <v>386.65215221075766</v>
      </c>
      <c r="L69" s="302">
        <f>L68/(Input!$F$94/Input!$C$94)</f>
        <v>351.50195655523424</v>
      </c>
      <c r="M69" s="302">
        <f>M68/(Input!$F$94/Input!$C$94)</f>
        <v>319.54723323203109</v>
      </c>
      <c r="R69" s="9"/>
    </row>
    <row r="70" spans="2:18" ht="15.75" thickBot="1" x14ac:dyDescent="0.3">
      <c r="B70" s="399"/>
      <c r="C70" s="315" t="s">
        <v>228</v>
      </c>
      <c r="D70" s="317">
        <v>0</v>
      </c>
      <c r="E70" s="317">
        <f>E69*Input!$D$99</f>
        <v>0.16165477812774362</v>
      </c>
      <c r="F70" s="317">
        <f>F69*Input!$D$99</f>
        <v>0.14695888920703964</v>
      </c>
      <c r="G70" s="317">
        <f>G69*Input!$D$99</f>
        <v>0.13359899018821783</v>
      </c>
      <c r="H70" s="317">
        <f>H69*Input!$D$99</f>
        <v>0.12145362744383438</v>
      </c>
      <c r="I70" s="317">
        <f>I69*Input!$D$99</f>
        <v>0.11041238858530399</v>
      </c>
      <c r="J70" s="317">
        <f>J69*Input!$D$99</f>
        <v>0.1003748987139127</v>
      </c>
      <c r="K70" s="317">
        <f>K69*Input!$D$99</f>
        <v>9.1249907921738801E-2</v>
      </c>
      <c r="L70" s="317">
        <f>L69*Input!$D$99</f>
        <v>8.2954461747035274E-2</v>
      </c>
      <c r="M70" s="317">
        <f>M69*Input!$D$99</f>
        <v>7.5413147042759338E-2</v>
      </c>
      <c r="R70" s="9"/>
    </row>
    <row r="71" spans="2:18" x14ac:dyDescent="0.25">
      <c r="B71" s="395" t="s">
        <v>60</v>
      </c>
      <c r="C71" s="318" t="s">
        <v>234</v>
      </c>
      <c r="D71" s="332" t="s">
        <v>219</v>
      </c>
      <c r="E71" s="320">
        <v>0</v>
      </c>
      <c r="F71" s="320">
        <v>0</v>
      </c>
      <c r="G71" s="320">
        <v>0</v>
      </c>
      <c r="H71" s="320">
        <v>7</v>
      </c>
      <c r="I71" s="320">
        <v>15</v>
      </c>
      <c r="J71" s="320">
        <v>21</v>
      </c>
      <c r="K71" s="320">
        <v>26</v>
      </c>
      <c r="L71" s="320">
        <v>29</v>
      </c>
      <c r="M71" s="320">
        <v>32</v>
      </c>
      <c r="R71" s="9"/>
    </row>
    <row r="72" spans="2:18" x14ac:dyDescent="0.25">
      <c r="B72" s="395"/>
      <c r="C72" s="318" t="s">
        <v>235</v>
      </c>
      <c r="D72" s="333" t="s">
        <v>219</v>
      </c>
      <c r="E72" s="321">
        <f>Input!C46*Input!C48</f>
        <v>0.35000000000000003</v>
      </c>
      <c r="F72" s="321">
        <f>E72*Input!C47</f>
        <v>0.1225</v>
      </c>
      <c r="G72" s="321">
        <f>F72</f>
        <v>0.1225</v>
      </c>
      <c r="H72" s="321">
        <f t="shared" ref="H72:M72" si="14">G72</f>
        <v>0.1225</v>
      </c>
      <c r="I72" s="321">
        <f t="shared" si="14"/>
        <v>0.1225</v>
      </c>
      <c r="J72" s="321">
        <f t="shared" si="14"/>
        <v>0.1225</v>
      </c>
      <c r="K72" s="321">
        <f t="shared" si="14"/>
        <v>0.1225</v>
      </c>
      <c r="L72" s="321">
        <f t="shared" si="14"/>
        <v>0.1225</v>
      </c>
      <c r="M72" s="321">
        <f t="shared" si="14"/>
        <v>0.1225</v>
      </c>
      <c r="R72" s="9"/>
    </row>
    <row r="73" spans="2:18" x14ac:dyDescent="0.25">
      <c r="B73" s="395"/>
      <c r="C73" s="295" t="s">
        <v>236</v>
      </c>
      <c r="D73" s="297" t="s">
        <v>219</v>
      </c>
      <c r="E73" s="297">
        <f>E71*E72*Input!$G73</f>
        <v>0</v>
      </c>
      <c r="F73" s="297">
        <f>F71*F72*Input!$G73</f>
        <v>0</v>
      </c>
      <c r="G73" s="297">
        <f>G71*G72*Input!$G73</f>
        <v>0</v>
      </c>
      <c r="H73" s="297">
        <f>H71*H72*Input!$G73</f>
        <v>3429.9999999999995</v>
      </c>
      <c r="I73" s="297">
        <f>I71*I72*Input!$G73</f>
        <v>7350</v>
      </c>
      <c r="J73" s="297">
        <f>J71*J72*Input!$G73</f>
        <v>10290</v>
      </c>
      <c r="K73" s="297">
        <f>K71*K72*Input!$G73</f>
        <v>12740</v>
      </c>
      <c r="L73" s="297">
        <f>L71*L72*Input!$G73</f>
        <v>14209.999999999998</v>
      </c>
      <c r="M73" s="297">
        <f>M71*M72*Input!$G73</f>
        <v>15680</v>
      </c>
      <c r="R73" s="9"/>
    </row>
    <row r="74" spans="2:18" x14ac:dyDescent="0.25">
      <c r="B74" s="395"/>
      <c r="C74" s="295" t="s">
        <v>237</v>
      </c>
      <c r="D74" s="324" t="s">
        <v>219</v>
      </c>
      <c r="E74" s="324">
        <f>0.1*Input!$C$46*Input!$C$48</f>
        <v>3.5000000000000003E-2</v>
      </c>
      <c r="F74" s="323">
        <f>0.1*Input!$C$46*Input!$C$48*Input!$C$47</f>
        <v>1.225E-2</v>
      </c>
      <c r="G74" s="324">
        <f>0.1*Input!$C$46*Input!$C$48*Input!$C$47</f>
        <v>1.225E-2</v>
      </c>
      <c r="H74" s="324">
        <f>0.1*Input!$C$46*Input!$C$48*Input!$C$47</f>
        <v>1.225E-2</v>
      </c>
      <c r="I74" s="324">
        <f>0.3*Input!$C$46*Input!$C$48*Input!$C$47</f>
        <v>3.6749999999999998E-2</v>
      </c>
      <c r="J74" s="324">
        <f>0.3*Input!$C$46*Input!$C$48*Input!$C$47</f>
        <v>3.6749999999999998E-2</v>
      </c>
      <c r="K74" s="324">
        <f>0.3*Input!$C$46*Input!$C$48*Input!$C$47</f>
        <v>3.6749999999999998E-2</v>
      </c>
      <c r="L74" s="324">
        <f>0.3*Input!$C$46*Input!$C$48*Input!$C$47</f>
        <v>3.6749999999999998E-2</v>
      </c>
      <c r="M74" s="324">
        <f>0.3*Input!$C$46*Input!$C$48*Input!$C$47</f>
        <v>3.6749999999999998E-2</v>
      </c>
      <c r="R74" s="9"/>
    </row>
    <row r="75" spans="2:18" x14ac:dyDescent="0.25">
      <c r="B75" s="395"/>
      <c r="C75" s="295" t="s">
        <v>222</v>
      </c>
      <c r="D75" s="297" t="s">
        <v>219</v>
      </c>
      <c r="E75" s="297">
        <f>Input!$C$51*E74</f>
        <v>77.000000000000014</v>
      </c>
      <c r="F75" s="297">
        <f>Input!$C$51*F74</f>
        <v>26.95</v>
      </c>
      <c r="G75" s="297">
        <f>Input!$C$51*G74</f>
        <v>26.95</v>
      </c>
      <c r="H75" s="297">
        <f>Input!$C$51*H74</f>
        <v>26.95</v>
      </c>
      <c r="I75" s="297">
        <f>Input!$C$51*I74</f>
        <v>80.849999999999994</v>
      </c>
      <c r="J75" s="297">
        <f>Input!$C$51*J74</f>
        <v>80.849999999999994</v>
      </c>
      <c r="K75" s="297">
        <f>Input!$C$51*K74</f>
        <v>80.849999999999994</v>
      </c>
      <c r="L75" s="297">
        <f>Input!$C$51*L74</f>
        <v>80.849999999999994</v>
      </c>
      <c r="M75" s="297">
        <f>Input!$C$51*M74</f>
        <v>80.849999999999994</v>
      </c>
      <c r="R75" s="9"/>
    </row>
    <row r="76" spans="2:18" x14ac:dyDescent="0.25">
      <c r="B76" s="395"/>
      <c r="C76" s="295" t="s">
        <v>238</v>
      </c>
      <c r="D76" s="297" t="s">
        <v>219</v>
      </c>
      <c r="E76" s="297">
        <f>E75+(Input!$C$46*Input!$C$48*Input!$C$49)</f>
        <v>3577.0000000000005</v>
      </c>
      <c r="F76" s="297">
        <f>F75+(Input!$C$48*Input!$C$50*Input!$C$47*Input!$C$46)</f>
        <v>590.45000000000005</v>
      </c>
      <c r="G76" s="297">
        <f>G75+(Input!$C$48*Input!$C$50*Input!$C$47*Input!$C$46)</f>
        <v>590.45000000000005</v>
      </c>
      <c r="H76" s="297">
        <f>H75+(Input!$C$48*Input!$C$50*Input!$C$47*Input!$C$46)</f>
        <v>590.45000000000005</v>
      </c>
      <c r="I76" s="297">
        <f>I75+(Input!$C$48*Input!$C$50*Input!$C$47*Input!$C$46)</f>
        <v>644.35</v>
      </c>
      <c r="J76" s="297">
        <f>J75+(Input!$C$48*Input!$C$50*Input!$C$47*Input!$C$46)</f>
        <v>644.35</v>
      </c>
      <c r="K76" s="297">
        <f>K75+(Input!$C$48*Input!$C$50*Input!$C$47*Input!$C$46)</f>
        <v>644.35</v>
      </c>
      <c r="L76" s="310">
        <f>L75</f>
        <v>80.849999999999994</v>
      </c>
      <c r="M76" s="297">
        <f t="shared" ref="M76" si="15">M75</f>
        <v>80.849999999999994</v>
      </c>
      <c r="R76" s="9"/>
    </row>
    <row r="77" spans="2:18" x14ac:dyDescent="0.25">
      <c r="B77" s="395"/>
      <c r="C77" s="300" t="s">
        <v>225</v>
      </c>
      <c r="D77" s="302">
        <v>0</v>
      </c>
      <c r="E77" s="302">
        <f t="shared" ref="E77:M77" si="16">E73-E76</f>
        <v>-3577.0000000000005</v>
      </c>
      <c r="F77" s="302">
        <f t="shared" si="16"/>
        <v>-590.45000000000005</v>
      </c>
      <c r="G77" s="302">
        <f t="shared" si="16"/>
        <v>-590.45000000000005</v>
      </c>
      <c r="H77" s="302">
        <f t="shared" si="16"/>
        <v>2839.5499999999993</v>
      </c>
      <c r="I77" s="302">
        <f t="shared" si="16"/>
        <v>6705.65</v>
      </c>
      <c r="J77" s="302">
        <f t="shared" si="16"/>
        <v>9645.65</v>
      </c>
      <c r="K77" s="302">
        <f t="shared" si="16"/>
        <v>12095.65</v>
      </c>
      <c r="L77" s="302">
        <f t="shared" si="16"/>
        <v>14129.149999999998</v>
      </c>
      <c r="M77" s="302">
        <f t="shared" si="16"/>
        <v>15599.15</v>
      </c>
      <c r="R77" s="9"/>
    </row>
    <row r="78" spans="2:18" x14ac:dyDescent="0.25">
      <c r="B78" s="395"/>
      <c r="C78" s="300" t="s">
        <v>226</v>
      </c>
      <c r="D78" s="302">
        <v>0</v>
      </c>
      <c r="E78" s="302">
        <f>E77/(1+Input!$C$12)^(E52-2024)</f>
        <v>-3251.818181818182</v>
      </c>
      <c r="F78" s="302">
        <f>F77/(1+Input!$C$12)^(F52-2024)</f>
        <v>-487.97520661157023</v>
      </c>
      <c r="G78" s="302">
        <f>G77/(1+Input!$C$12)^(G52-2024)</f>
        <v>-443.61382419233649</v>
      </c>
      <c r="H78" s="302">
        <f>H77/(1+Input!$C$12)^(H52-2024)</f>
        <v>1939.4508571818856</v>
      </c>
      <c r="I78" s="302">
        <f>I77/(1+Input!$C$12)^(I52-2024)</f>
        <v>4163.6810699716225</v>
      </c>
      <c r="J78" s="302">
        <f>J77/(1+Input!$C$12)^(J52-2024)</f>
        <v>5444.7179634232152</v>
      </c>
      <c r="K78" s="302">
        <f>K77/(1+Input!$C$12)^(K52-2024)</f>
        <v>6206.980992777244</v>
      </c>
      <c r="L78" s="302">
        <f>L77/(1+Input!$C$12)^(L52-2024)</f>
        <v>6591.3527510903505</v>
      </c>
      <c r="M78" s="302">
        <f>M77/(1+Input!$C$12)^(M52-2024)</f>
        <v>6615.5623636351438</v>
      </c>
      <c r="R78" s="9"/>
    </row>
    <row r="79" spans="2:18" x14ac:dyDescent="0.25">
      <c r="B79" s="395"/>
      <c r="C79" s="300" t="s">
        <v>227</v>
      </c>
      <c r="D79" s="302">
        <v>0</v>
      </c>
      <c r="E79" s="302">
        <f>E78/(Input!$F$94/Input!$C$94)</f>
        <v>-2791.4909288645013</v>
      </c>
      <c r="F79" s="302">
        <f>F78/(Input!$F$94/Input!$C$94)</f>
        <v>-418.89745570133545</v>
      </c>
      <c r="G79" s="302">
        <f>G78/(Input!$F$94/Input!$C$94)</f>
        <v>-380.8158688193958</v>
      </c>
      <c r="H79" s="302">
        <f>H78/(Input!$F$94/Input!$C$94)</f>
        <v>1664.9022706966412</v>
      </c>
      <c r="I79" s="302">
        <f>I78/(Input!$F$94/Input!$C$94)</f>
        <v>3574.2705427066498</v>
      </c>
      <c r="J79" s="302">
        <f>J78/(Input!$F$94/Input!$C$94)</f>
        <v>4673.9639042867366</v>
      </c>
      <c r="K79" s="302">
        <f>K78/(Input!$F$94/Input!$C$94)</f>
        <v>5328.321009412708</v>
      </c>
      <c r="L79" s="302">
        <f>L78/(Input!$F$94/Input!$C$94)</f>
        <v>5658.2811168510661</v>
      </c>
      <c r="M79" s="302">
        <f>M78/(Input!$F$94/Input!$C$94)</f>
        <v>5679.0636176034086</v>
      </c>
      <c r="R79" s="9"/>
    </row>
    <row r="80" spans="2:18" ht="15.75" thickBot="1" x14ac:dyDescent="0.3">
      <c r="B80" s="395"/>
      <c r="C80" s="315" t="s">
        <v>228</v>
      </c>
      <c r="D80" s="317">
        <v>0</v>
      </c>
      <c r="E80" s="317">
        <f>E79*Input!$D$99</f>
        <v>-0.65879185921202232</v>
      </c>
      <c r="F80" s="317">
        <f>F79*Input!$D$99</f>
        <v>-9.8859799545515159E-2</v>
      </c>
      <c r="G80" s="317">
        <f>G79*Input!$D$99</f>
        <v>-8.98725450413774E-2</v>
      </c>
      <c r="H80" s="317">
        <f>H79*Input!$D$99</f>
        <v>0.39291693588440729</v>
      </c>
      <c r="I80" s="317">
        <f>I79*Input!$D$99</f>
        <v>0.84352784807876935</v>
      </c>
      <c r="J80" s="317">
        <f>J79*Input!$D$99</f>
        <v>1.1030554814116698</v>
      </c>
      <c r="K80" s="317">
        <f>K79*Input!$D$99</f>
        <v>1.2574837582213991</v>
      </c>
      <c r="L80" s="317">
        <f>L79*Input!$D$99</f>
        <v>1.3353543435768516</v>
      </c>
      <c r="M80" s="317">
        <f>M79*Input!$D$99</f>
        <v>1.3402590137544044</v>
      </c>
      <c r="R80" s="9"/>
    </row>
    <row r="81" spans="2:18" x14ac:dyDescent="0.25">
      <c r="B81" s="394" t="s">
        <v>61</v>
      </c>
      <c r="C81" s="325" t="s">
        <v>235</v>
      </c>
      <c r="D81" s="326" t="s">
        <v>219</v>
      </c>
      <c r="E81" s="326" t="s">
        <v>219</v>
      </c>
      <c r="F81" s="162">
        <f>Input!C55*Input!C56</f>
        <v>36</v>
      </c>
      <c r="G81" s="162">
        <f>(F81*Input!C57)+(Input!C55*Input!C56)</f>
        <v>48.6</v>
      </c>
      <c r="H81" s="162">
        <f>F81*Input!C57+Input!C55*Input!C56*Input!C57</f>
        <v>25.2</v>
      </c>
      <c r="I81" s="162">
        <f>H81</f>
        <v>25.2</v>
      </c>
      <c r="J81" s="162">
        <f>I81</f>
        <v>25.2</v>
      </c>
      <c r="K81" s="162">
        <f>J81</f>
        <v>25.2</v>
      </c>
      <c r="L81" s="162">
        <f>K81</f>
        <v>25.2</v>
      </c>
      <c r="M81" s="162">
        <f>L81</f>
        <v>25.2</v>
      </c>
      <c r="R81" s="9"/>
    </row>
    <row r="82" spans="2:18" x14ac:dyDescent="0.25">
      <c r="B82" s="395"/>
      <c r="C82" s="318" t="s">
        <v>240</v>
      </c>
      <c r="D82" s="327" t="s">
        <v>219</v>
      </c>
      <c r="E82" s="327" t="s">
        <v>219</v>
      </c>
      <c r="F82" s="163">
        <v>0</v>
      </c>
      <c r="G82" s="163">
        <v>0</v>
      </c>
      <c r="H82" s="163">
        <v>0</v>
      </c>
      <c r="I82" s="163">
        <v>0</v>
      </c>
      <c r="J82" s="163">
        <v>10</v>
      </c>
      <c r="K82" s="163">
        <v>28.51</v>
      </c>
      <c r="L82" s="163">
        <v>28.51</v>
      </c>
      <c r="M82" s="163">
        <v>28.51</v>
      </c>
      <c r="R82" s="9"/>
    </row>
    <row r="83" spans="2:18" x14ac:dyDescent="0.25">
      <c r="B83" s="395"/>
      <c r="C83" s="295" t="s">
        <v>241</v>
      </c>
      <c r="D83" s="164" t="s">
        <v>219</v>
      </c>
      <c r="E83" s="164" t="s">
        <v>219</v>
      </c>
      <c r="F83" s="166">
        <f>F82*F81*Input!$C$58</f>
        <v>0</v>
      </c>
      <c r="G83" s="166">
        <f>G82*G81*Input!$C$58</f>
        <v>0</v>
      </c>
      <c r="H83" s="166">
        <f>H82*H81*Input!$C$58</f>
        <v>0</v>
      </c>
      <c r="I83" s="166">
        <f>I82*I81*Input!$C$58</f>
        <v>0</v>
      </c>
      <c r="J83" s="166">
        <f>J82*J81*Input!$C$58</f>
        <v>91240.076589075034</v>
      </c>
      <c r="K83" s="166">
        <f>K82*K81*Input!$C$58</f>
        <v>260125.45835545292</v>
      </c>
      <c r="L83" s="166">
        <f>L82*L81*Input!$C$58</f>
        <v>260125.45835545292</v>
      </c>
      <c r="M83" s="166">
        <f>M82*M81*Input!$C$58</f>
        <v>260125.45835545292</v>
      </c>
      <c r="R83" s="9"/>
    </row>
    <row r="84" spans="2:18" x14ac:dyDescent="0.25">
      <c r="B84" s="395"/>
      <c r="C84" s="295" t="s">
        <v>242</v>
      </c>
      <c r="D84" s="164" t="s">
        <v>219</v>
      </c>
      <c r="E84" s="164" t="s">
        <v>219</v>
      </c>
      <c r="F84" s="166">
        <v>0</v>
      </c>
      <c r="G84" s="166">
        <v>0</v>
      </c>
      <c r="H84" s="166">
        <v>0</v>
      </c>
      <c r="I84" s="166">
        <v>0</v>
      </c>
      <c r="J84" s="166">
        <v>0</v>
      </c>
      <c r="K84" s="166">
        <v>0</v>
      </c>
      <c r="L84" s="166">
        <v>0</v>
      </c>
      <c r="M84" s="166">
        <f>M81*Input!C60</f>
        <v>1750035.1633792287</v>
      </c>
      <c r="R84" s="9"/>
    </row>
    <row r="85" spans="2:18" x14ac:dyDescent="0.25">
      <c r="B85" s="395"/>
      <c r="C85" s="295" t="s">
        <v>243</v>
      </c>
      <c r="D85" s="164" t="s">
        <v>219</v>
      </c>
      <c r="E85" s="164" t="s">
        <v>219</v>
      </c>
      <c r="F85" s="166">
        <v>0</v>
      </c>
      <c r="G85" s="166">
        <v>0</v>
      </c>
      <c r="H85" s="166">
        <v>0</v>
      </c>
      <c r="I85" s="166">
        <v>0</v>
      </c>
      <c r="J85" s="166">
        <v>0</v>
      </c>
      <c r="K85" s="166">
        <v>0</v>
      </c>
      <c r="L85" s="166">
        <v>0</v>
      </c>
      <c r="M85" s="166">
        <f>M81*Input!C59</f>
        <v>398767.53511616623</v>
      </c>
      <c r="R85" s="9"/>
    </row>
    <row r="86" spans="2:18" x14ac:dyDescent="0.25">
      <c r="B86" s="395"/>
      <c r="C86" s="295" t="s">
        <v>249</v>
      </c>
      <c r="D86" s="165" t="s">
        <v>219</v>
      </c>
      <c r="E86" s="165" t="s">
        <v>219</v>
      </c>
      <c r="F86" s="166">
        <f t="shared" ref="F86:M86" si="17">0.4*3400*F81</f>
        <v>48960</v>
      </c>
      <c r="G86" s="166">
        <f t="shared" si="17"/>
        <v>66096</v>
      </c>
      <c r="H86" s="166">
        <f t="shared" si="17"/>
        <v>34272</v>
      </c>
      <c r="I86" s="166">
        <f t="shared" si="17"/>
        <v>34272</v>
      </c>
      <c r="J86" s="166">
        <f t="shared" si="17"/>
        <v>34272</v>
      </c>
      <c r="K86" s="166">
        <f t="shared" si="17"/>
        <v>34272</v>
      </c>
      <c r="L86" s="166">
        <f t="shared" si="17"/>
        <v>34272</v>
      </c>
      <c r="M86" s="166">
        <f t="shared" si="17"/>
        <v>34272</v>
      </c>
      <c r="R86" s="9"/>
    </row>
    <row r="87" spans="2:18" x14ac:dyDescent="0.25">
      <c r="B87" s="395"/>
      <c r="C87" s="300" t="s">
        <v>225</v>
      </c>
      <c r="D87" s="302">
        <v>0</v>
      </c>
      <c r="E87" s="302">
        <v>0</v>
      </c>
      <c r="F87" s="302">
        <f t="shared" ref="F87:M87" si="18">F83+F84+F85-F86</f>
        <v>-48960</v>
      </c>
      <c r="G87" s="302">
        <f t="shared" si="18"/>
        <v>-66096</v>
      </c>
      <c r="H87" s="302">
        <f t="shared" si="18"/>
        <v>-34272</v>
      </c>
      <c r="I87" s="302">
        <f t="shared" si="18"/>
        <v>-34272</v>
      </c>
      <c r="J87" s="302">
        <f t="shared" si="18"/>
        <v>56968.076589075034</v>
      </c>
      <c r="K87" s="302">
        <f t="shared" si="18"/>
        <v>225853.45835545292</v>
      </c>
      <c r="L87" s="302">
        <f t="shared" si="18"/>
        <v>225853.45835545292</v>
      </c>
      <c r="M87" s="302">
        <f t="shared" si="18"/>
        <v>2374656.1568508479</v>
      </c>
      <c r="R87" s="9"/>
    </row>
    <row r="88" spans="2:18" x14ac:dyDescent="0.25">
      <c r="B88" s="395"/>
      <c r="C88" s="300" t="s">
        <v>226</v>
      </c>
      <c r="D88" s="302">
        <v>0</v>
      </c>
      <c r="E88" s="302">
        <v>0</v>
      </c>
      <c r="F88" s="302">
        <f>F87/(1+Input!$C$12)^(E$52-2024)</f>
        <v>-44509.090909090904</v>
      </c>
      <c r="G88" s="302">
        <f>G87/(1+Input!$C$12)^(F$52-2024)</f>
        <v>-54624.793388429745</v>
      </c>
      <c r="H88" s="302">
        <f>H87/(1+Input!$C$12)^(G$52-2024)</f>
        <v>-25749.060856498865</v>
      </c>
      <c r="I88" s="302">
        <f>I87/(1+Input!$C$12)^(H$52-2024)</f>
        <v>-23408.237142271697</v>
      </c>
      <c r="J88" s="302">
        <f>J87/(1+Input!$C$12)^(I$52-2024)</f>
        <v>35372.693487823744</v>
      </c>
      <c r="K88" s="302">
        <f>K87/(1+Input!$C$12)^(J$52-2024)</f>
        <v>127488.38925413961</v>
      </c>
      <c r="L88" s="302">
        <f>L87/(1+Input!$C$12)^(K$52-2024)</f>
        <v>115898.53568558145</v>
      </c>
      <c r="M88" s="302">
        <f>M87/(1+Input!$C$12)^(L$52-2024)</f>
        <v>1107794.6226314022</v>
      </c>
      <c r="R88" s="9"/>
    </row>
    <row r="89" spans="2:18" x14ac:dyDescent="0.25">
      <c r="B89" s="395"/>
      <c r="C89" s="300" t="s">
        <v>227</v>
      </c>
      <c r="D89" s="302">
        <v>0</v>
      </c>
      <c r="E89" s="302">
        <v>0</v>
      </c>
      <c r="F89" s="302">
        <f>F88/(Input!$F$94/Input!$C$94)</f>
        <v>-38208.385763826096</v>
      </c>
      <c r="G89" s="302">
        <f>G88/(Input!$F$94/Input!$C$94)</f>
        <v>-46892.109801059305</v>
      </c>
      <c r="H89" s="302">
        <f>H88/(Input!$F$94/Input!$C$94)</f>
        <v>-22104.024822048152</v>
      </c>
      <c r="I89" s="302">
        <f>I88/(Input!$F$94/Input!$C$94)</f>
        <v>-20094.568020043775</v>
      </c>
      <c r="J89" s="302">
        <f>J88/(Input!$F$94/Input!$C$94)</f>
        <v>30365.336399452288</v>
      </c>
      <c r="K89" s="302">
        <f>K88/(Input!$F$94/Input!$C$94)</f>
        <v>109441.13792349034</v>
      </c>
      <c r="L89" s="302">
        <f>L88/(Input!$F$94/Input!$C$94)</f>
        <v>99491.943566809394</v>
      </c>
      <c r="M89" s="302">
        <f>M88/(Input!$F$94/Input!$C$94)</f>
        <v>950975.25975188019</v>
      </c>
      <c r="R89" s="9"/>
    </row>
    <row r="90" spans="2:18" ht="15.75" thickBot="1" x14ac:dyDescent="0.3">
      <c r="B90" s="396"/>
      <c r="C90" s="315" t="s">
        <v>228</v>
      </c>
      <c r="D90" s="317">
        <v>0</v>
      </c>
      <c r="E90" s="317">
        <v>0</v>
      </c>
      <c r="F90" s="317">
        <f>F89*Input!$D$99</f>
        <v>-9.0171790402629579</v>
      </c>
      <c r="G90" s="317">
        <f>G89*Input!$D$99</f>
        <v>-11.066537913049995</v>
      </c>
      <c r="H90" s="317">
        <f>H89*Input!$D$99</f>
        <v>-5.216549858003364</v>
      </c>
      <c r="I90" s="317">
        <f>I89*Input!$D$99</f>
        <v>-4.7423180527303304</v>
      </c>
      <c r="J90" s="317">
        <f>J89*Input!$D$99</f>
        <v>7.1662193902707401</v>
      </c>
      <c r="K90" s="317">
        <f>K89*Input!$D$99</f>
        <v>25.828108549943721</v>
      </c>
      <c r="L90" s="317">
        <f>L89*Input!$D$99</f>
        <v>23.480098681767014</v>
      </c>
      <c r="M90" s="317">
        <f>M89*Input!$D$99</f>
        <v>224.43016130144372</v>
      </c>
      <c r="R90" s="9"/>
    </row>
    <row r="91" spans="2:18" x14ac:dyDescent="0.25">
      <c r="B91" s="378" t="s">
        <v>245</v>
      </c>
      <c r="C91" s="379"/>
      <c r="D91" s="179">
        <f>D59+D67+D77+D87</f>
        <v>38857.051213959938</v>
      </c>
      <c r="E91" s="179">
        <f>E59+E67+E77+F87</f>
        <v>188357.3062651552</v>
      </c>
      <c r="F91" s="179">
        <f t="shared" ref="F91:M91" si="19">F59+F67+F77+F87</f>
        <v>132000.15929103264</v>
      </c>
      <c r="G91" s="179">
        <f t="shared" si="19"/>
        <v>101711.7746195785</v>
      </c>
      <c r="H91" s="179">
        <f t="shared" si="19"/>
        <v>124773.51402914047</v>
      </c>
      <c r="I91" s="179">
        <f t="shared" si="19"/>
        <v>117337.38846180445</v>
      </c>
      <c r="J91" s="179">
        <f t="shared" si="19"/>
        <v>201040.30194995893</v>
      </c>
      <c r="K91" s="179">
        <f t="shared" si="19"/>
        <v>362663.35352178349</v>
      </c>
      <c r="L91" s="179">
        <f>L59+L67+L77+L87</f>
        <v>355693.52343143255</v>
      </c>
      <c r="M91" s="179">
        <f t="shared" si="19"/>
        <v>2497620.1349330721</v>
      </c>
      <c r="R91" s="9"/>
    </row>
    <row r="92" spans="2:18" x14ac:dyDescent="0.25">
      <c r="B92" s="378" t="s">
        <v>246</v>
      </c>
      <c r="C92" s="379"/>
      <c r="D92" s="179">
        <f>D61+D69+D79+D89</f>
        <v>33356.44858395632</v>
      </c>
      <c r="E92" s="179">
        <f>E61+E69+E79+F89</f>
        <v>146994.04859506106</v>
      </c>
      <c r="F92" s="179">
        <f t="shared" ref="F92:M92" si="20">F61+F69+F79+F89</f>
        <v>90174.627717962285</v>
      </c>
      <c r="G92" s="179">
        <f t="shared" si="20"/>
        <v>61336.975619220371</v>
      </c>
      <c r="H92" s="179">
        <f t="shared" si="20"/>
        <v>71148.51077381405</v>
      </c>
      <c r="I92" s="179">
        <f t="shared" si="20"/>
        <v>60716.832989074974</v>
      </c>
      <c r="J92" s="179">
        <f t="shared" si="20"/>
        <v>100177.9857229334</v>
      </c>
      <c r="K92" s="179">
        <f t="shared" si="20"/>
        <v>169708.01392521901</v>
      </c>
      <c r="L92" s="179">
        <f t="shared" si="20"/>
        <v>151488.81446351085</v>
      </c>
      <c r="M92" s="179">
        <f t="shared" si="20"/>
        <v>995741.8178145017</v>
      </c>
      <c r="R92" s="9"/>
    </row>
    <row r="93" spans="2:18" x14ac:dyDescent="0.25">
      <c r="B93" s="383" t="s">
        <v>247</v>
      </c>
      <c r="C93" s="383"/>
      <c r="D93" s="179">
        <f>D62+D70+D80+D90</f>
        <v>7.8721218658136909</v>
      </c>
      <c r="E93" s="179">
        <f>E62+E70+E80+F90</f>
        <v>34.690595468434402</v>
      </c>
      <c r="F93" s="179">
        <f t="shared" ref="F93:M93" si="21">F62+F70+F80+G90</f>
        <v>19.231853268652063</v>
      </c>
      <c r="G93" s="179">
        <f t="shared" si="21"/>
        <v>20.32551430118264</v>
      </c>
      <c r="H93" s="179">
        <f t="shared" si="21"/>
        <v>17.265280347893153</v>
      </c>
      <c r="I93" s="179">
        <f t="shared" si="21"/>
        <v>26.237710028422761</v>
      </c>
      <c r="J93" s="179">
        <f t="shared" si="21"/>
        <v>42.303893790285265</v>
      </c>
      <c r="K93" s="179">
        <f t="shared" si="21"/>
        <v>37.703081418174982</v>
      </c>
      <c r="L93" s="179">
        <f t="shared" si="21"/>
        <v>236.70142283306527</v>
      </c>
      <c r="M93" s="179">
        <f t="shared" si="21"/>
        <v>10.56490770277869</v>
      </c>
      <c r="R93" s="9"/>
    </row>
    <row r="94" spans="2:18" hidden="1" x14ac:dyDescent="0.25">
      <c r="B94" s="9"/>
      <c r="R94" s="9"/>
    </row>
    <row r="95" spans="2:18" hidden="1" x14ac:dyDescent="0.25">
      <c r="B95" s="384" t="s">
        <v>250</v>
      </c>
      <c r="C95" s="384"/>
      <c r="D95" s="385">
        <f>SUM(D93:M93)</f>
        <v>452.89638102470286</v>
      </c>
      <c r="E95" s="386"/>
      <c r="F95" s="386"/>
      <c r="R95" s="9"/>
    </row>
    <row r="96" spans="2:18" hidden="1" x14ac:dyDescent="0.25">
      <c r="B96" s="384"/>
      <c r="C96" s="384"/>
      <c r="D96" s="386"/>
      <c r="E96" s="386"/>
      <c r="F96" s="386"/>
      <c r="R96" s="9"/>
    </row>
    <row r="97" spans="2:39" ht="26.25" x14ac:dyDescent="0.25">
      <c r="B97" s="72"/>
      <c r="C97" s="72"/>
      <c r="D97" s="68"/>
      <c r="E97" s="68"/>
      <c r="F97" s="68"/>
      <c r="R97" s="9"/>
    </row>
    <row r="98" spans="2:39" s="32" customFormat="1" ht="19.350000000000001" customHeight="1" x14ac:dyDescent="0.3">
      <c r="B98" s="161" t="s">
        <v>251</v>
      </c>
      <c r="C98" s="73"/>
      <c r="D98" s="74"/>
      <c r="E98" s="74"/>
      <c r="F98" s="74"/>
      <c r="R98" s="9"/>
      <c r="S98"/>
      <c r="T98"/>
      <c r="U98"/>
      <c r="V98"/>
      <c r="W98"/>
      <c r="X98"/>
      <c r="Y98"/>
      <c r="Z98"/>
      <c r="AA98"/>
      <c r="AB98"/>
      <c r="AC98"/>
      <c r="AD98"/>
      <c r="AE98"/>
      <c r="AF98"/>
      <c r="AG98"/>
      <c r="AH98"/>
      <c r="AI98"/>
      <c r="AJ98"/>
      <c r="AK98"/>
      <c r="AL98"/>
      <c r="AM98"/>
    </row>
    <row r="99" spans="2:39" ht="15" customHeight="1" x14ac:dyDescent="0.3">
      <c r="B99" s="169"/>
      <c r="C99" s="72"/>
      <c r="D99" s="68"/>
      <c r="E99" s="68"/>
      <c r="F99" s="68"/>
      <c r="R99" s="9"/>
    </row>
    <row r="100" spans="2:39" ht="15" customHeight="1" x14ac:dyDescent="0.25">
      <c r="B100" s="72"/>
      <c r="C100" s="72" t="s">
        <v>252</v>
      </c>
      <c r="D100" s="68"/>
      <c r="E100" s="68"/>
      <c r="F100" s="90"/>
      <c r="G100" s="76"/>
      <c r="R100" s="9"/>
    </row>
    <row r="101" spans="2:39" ht="15.75" customHeight="1" x14ac:dyDescent="0.25">
      <c r="C101" s="369" t="s">
        <v>253</v>
      </c>
      <c r="D101" s="367" t="s">
        <v>254</v>
      </c>
      <c r="E101" s="368"/>
      <c r="F101" s="368"/>
      <c r="G101" s="387"/>
      <c r="H101" s="88" t="s">
        <v>255</v>
      </c>
      <c r="I101" s="89"/>
      <c r="J101" s="89"/>
      <c r="K101" s="89"/>
      <c r="L101" s="89"/>
      <c r="M101" s="89"/>
      <c r="N101" s="89"/>
      <c r="O101" s="89"/>
      <c r="P101" s="89"/>
      <c r="R101" s="9"/>
    </row>
    <row r="102" spans="2:39" x14ac:dyDescent="0.25">
      <c r="C102" s="369"/>
      <c r="D102" s="180">
        <v>2024</v>
      </c>
      <c r="E102" s="180">
        <v>2025</v>
      </c>
      <c r="F102" s="180">
        <v>2026</v>
      </c>
      <c r="G102" s="180">
        <v>2027</v>
      </c>
      <c r="H102" s="180">
        <v>2028</v>
      </c>
      <c r="I102" s="180">
        <v>2029</v>
      </c>
      <c r="J102" s="180">
        <v>2030</v>
      </c>
      <c r="K102" s="180">
        <v>2031</v>
      </c>
      <c r="L102" s="180">
        <v>2032</v>
      </c>
      <c r="M102" s="180">
        <v>2033</v>
      </c>
      <c r="N102" s="180">
        <v>2034</v>
      </c>
      <c r="O102" s="180">
        <v>2035</v>
      </c>
      <c r="P102" s="180">
        <v>2036</v>
      </c>
      <c r="R102" s="9"/>
    </row>
    <row r="103" spans="2:39" x14ac:dyDescent="0.25">
      <c r="C103" s="334">
        <v>1</v>
      </c>
      <c r="D103" s="302">
        <v>0</v>
      </c>
      <c r="E103" s="302">
        <f>Input!D81</f>
        <v>7275</v>
      </c>
      <c r="F103" s="302">
        <f>Input!E81-SUM(F104:F112)</f>
        <v>9093.75</v>
      </c>
      <c r="G103" s="302">
        <f>Input!F81-SUM(G104:G112)</f>
        <v>18187.5</v>
      </c>
      <c r="H103" s="311">
        <v>0</v>
      </c>
      <c r="I103" s="311">
        <v>0</v>
      </c>
      <c r="J103" s="311">
        <v>0</v>
      </c>
      <c r="K103" s="311">
        <v>0</v>
      </c>
      <c r="L103" s="311">
        <v>0</v>
      </c>
      <c r="M103" s="311">
        <v>0</v>
      </c>
      <c r="N103" s="311">
        <v>0</v>
      </c>
      <c r="O103" s="311">
        <v>0</v>
      </c>
      <c r="P103" s="311">
        <v>0</v>
      </c>
      <c r="R103" s="9"/>
    </row>
    <row r="104" spans="2:39" x14ac:dyDescent="0.25">
      <c r="C104" s="334">
        <v>2</v>
      </c>
      <c r="D104" s="302">
        <f>C95</f>
        <v>0</v>
      </c>
      <c r="E104" s="302">
        <v>0</v>
      </c>
      <c r="F104" s="302">
        <f>E103*Input!$C$89</f>
        <v>5456.25</v>
      </c>
      <c r="G104" s="302">
        <f>F103*Input!$C$89</f>
        <v>6820.3125</v>
      </c>
      <c r="H104" s="311">
        <f>G103*Input!$C$89</f>
        <v>13640.625</v>
      </c>
      <c r="I104" s="311">
        <v>0</v>
      </c>
      <c r="J104" s="311">
        <v>0</v>
      </c>
      <c r="K104" s="311">
        <v>0</v>
      </c>
      <c r="L104" s="311">
        <v>0</v>
      </c>
      <c r="M104" s="311">
        <v>0</v>
      </c>
      <c r="N104" s="311">
        <v>0</v>
      </c>
      <c r="O104" s="311">
        <v>0</v>
      </c>
      <c r="P104" s="311">
        <v>0</v>
      </c>
      <c r="R104" s="9"/>
    </row>
    <row r="105" spans="2:39" x14ac:dyDescent="0.25">
      <c r="C105" s="334">
        <v>3</v>
      </c>
      <c r="D105" s="302">
        <f>C96</f>
        <v>0</v>
      </c>
      <c r="E105" s="302">
        <f t="shared" ref="E105:F107" si="22">D96</f>
        <v>0</v>
      </c>
      <c r="F105" s="302">
        <f t="shared" si="22"/>
        <v>0</v>
      </c>
      <c r="G105" s="302">
        <f>F104*Input!$C$89</f>
        <v>4092.1875</v>
      </c>
      <c r="H105" s="311">
        <f>G104*Input!$C$89</f>
        <v>5115.234375</v>
      </c>
      <c r="I105" s="311">
        <f>H104*Input!$C$89</f>
        <v>10230.46875</v>
      </c>
      <c r="J105" s="311">
        <f t="shared" ref="I105:N112" si="23">I104</f>
        <v>0</v>
      </c>
      <c r="K105" s="311">
        <f t="shared" si="23"/>
        <v>0</v>
      </c>
      <c r="L105" s="311">
        <f t="shared" si="23"/>
        <v>0</v>
      </c>
      <c r="M105" s="311">
        <f t="shared" si="23"/>
        <v>0</v>
      </c>
      <c r="N105" s="311">
        <f t="shared" si="23"/>
        <v>0</v>
      </c>
      <c r="O105" s="311">
        <f t="shared" ref="O105:O109" si="24">N104</f>
        <v>0</v>
      </c>
      <c r="P105" s="311">
        <f t="shared" ref="P105:P109" si="25">O104</f>
        <v>0</v>
      </c>
      <c r="R105" s="9"/>
    </row>
    <row r="106" spans="2:39" x14ac:dyDescent="0.25">
      <c r="C106" s="334">
        <v>4</v>
      </c>
      <c r="D106" s="302">
        <f>C97</f>
        <v>0</v>
      </c>
      <c r="E106" s="302">
        <f t="shared" si="22"/>
        <v>0</v>
      </c>
      <c r="F106" s="302">
        <f t="shared" si="22"/>
        <v>0</v>
      </c>
      <c r="G106" s="302">
        <f>F97</f>
        <v>0</v>
      </c>
      <c r="H106" s="311">
        <f>G105</f>
        <v>4092.1875</v>
      </c>
      <c r="I106" s="311">
        <f>H105</f>
        <v>5115.234375</v>
      </c>
      <c r="J106" s="311">
        <f>I105</f>
        <v>10230.46875</v>
      </c>
      <c r="K106" s="311">
        <f t="shared" si="23"/>
        <v>0</v>
      </c>
      <c r="L106" s="311">
        <f t="shared" si="23"/>
        <v>0</v>
      </c>
      <c r="M106" s="311">
        <f t="shared" si="23"/>
        <v>0</v>
      </c>
      <c r="N106" s="311">
        <f t="shared" si="23"/>
        <v>0</v>
      </c>
      <c r="O106" s="311">
        <f t="shared" si="24"/>
        <v>0</v>
      </c>
      <c r="P106" s="311">
        <f t="shared" si="25"/>
        <v>0</v>
      </c>
      <c r="R106" s="9"/>
    </row>
    <row r="107" spans="2:39" x14ac:dyDescent="0.25">
      <c r="C107" s="334">
        <v>5</v>
      </c>
      <c r="D107" s="302">
        <f>C98</f>
        <v>0</v>
      </c>
      <c r="E107" s="302">
        <f t="shared" si="22"/>
        <v>0</v>
      </c>
      <c r="F107" s="302">
        <f t="shared" si="22"/>
        <v>0</v>
      </c>
      <c r="G107" s="302">
        <f>F98</f>
        <v>0</v>
      </c>
      <c r="H107" s="311">
        <f t="shared" ref="H107:H112" si="26">G106</f>
        <v>0</v>
      </c>
      <c r="I107" s="311">
        <f>H106</f>
        <v>4092.1875</v>
      </c>
      <c r="J107" s="311">
        <f>I106</f>
        <v>5115.234375</v>
      </c>
      <c r="K107" s="311">
        <f>J106</f>
        <v>10230.46875</v>
      </c>
      <c r="L107" s="311">
        <f t="shared" si="23"/>
        <v>0</v>
      </c>
      <c r="M107" s="311">
        <f t="shared" si="23"/>
        <v>0</v>
      </c>
      <c r="N107" s="311">
        <f t="shared" si="23"/>
        <v>0</v>
      </c>
      <c r="O107" s="311">
        <f t="shared" si="24"/>
        <v>0</v>
      </c>
      <c r="P107" s="311">
        <f t="shared" si="25"/>
        <v>0</v>
      </c>
      <c r="R107" s="9"/>
    </row>
    <row r="108" spans="2:39" x14ac:dyDescent="0.25">
      <c r="C108" s="334">
        <v>6</v>
      </c>
      <c r="D108" s="302">
        <v>0</v>
      </c>
      <c r="E108" s="302">
        <v>0</v>
      </c>
      <c r="F108" s="302">
        <v>0</v>
      </c>
      <c r="G108" s="302">
        <v>0</v>
      </c>
      <c r="H108" s="311">
        <f t="shared" si="26"/>
        <v>0</v>
      </c>
      <c r="I108" s="311">
        <f t="shared" si="23"/>
        <v>0</v>
      </c>
      <c r="J108" s="311">
        <f>I107</f>
        <v>4092.1875</v>
      </c>
      <c r="K108" s="311">
        <f>J107</f>
        <v>5115.234375</v>
      </c>
      <c r="L108" s="311">
        <f>K107</f>
        <v>10230.46875</v>
      </c>
      <c r="M108" s="311">
        <f t="shared" si="23"/>
        <v>0</v>
      </c>
      <c r="N108" s="311">
        <f t="shared" si="23"/>
        <v>0</v>
      </c>
      <c r="O108" s="311">
        <f t="shared" si="24"/>
        <v>0</v>
      </c>
      <c r="P108" s="311">
        <f t="shared" si="25"/>
        <v>0</v>
      </c>
      <c r="R108" s="9"/>
    </row>
    <row r="109" spans="2:39" x14ac:dyDescent="0.25">
      <c r="C109" s="334">
        <v>7</v>
      </c>
      <c r="D109" s="302">
        <v>0</v>
      </c>
      <c r="E109" s="302">
        <v>0</v>
      </c>
      <c r="F109" s="302">
        <v>0</v>
      </c>
      <c r="G109" s="302">
        <v>0</v>
      </c>
      <c r="H109" s="311">
        <f t="shared" si="26"/>
        <v>0</v>
      </c>
      <c r="I109" s="311">
        <f t="shared" si="23"/>
        <v>0</v>
      </c>
      <c r="J109" s="311">
        <f t="shared" si="23"/>
        <v>0</v>
      </c>
      <c r="K109" s="311">
        <f>J108</f>
        <v>4092.1875</v>
      </c>
      <c r="L109" s="311">
        <f>K108</f>
        <v>5115.234375</v>
      </c>
      <c r="M109" s="311">
        <f>L108</f>
        <v>10230.46875</v>
      </c>
      <c r="N109" s="311">
        <f t="shared" si="23"/>
        <v>0</v>
      </c>
      <c r="O109" s="311">
        <f t="shared" si="24"/>
        <v>0</v>
      </c>
      <c r="P109" s="311">
        <f t="shared" si="25"/>
        <v>0</v>
      </c>
      <c r="R109" s="9"/>
    </row>
    <row r="110" spans="2:39" x14ac:dyDescent="0.25">
      <c r="C110" s="334">
        <v>8</v>
      </c>
      <c r="D110" s="302">
        <v>0</v>
      </c>
      <c r="E110" s="302">
        <v>0</v>
      </c>
      <c r="F110" s="302">
        <v>0</v>
      </c>
      <c r="G110" s="302">
        <v>0</v>
      </c>
      <c r="H110" s="311">
        <f t="shared" si="26"/>
        <v>0</v>
      </c>
      <c r="I110" s="311">
        <f t="shared" si="23"/>
        <v>0</v>
      </c>
      <c r="J110" s="311">
        <f t="shared" si="23"/>
        <v>0</v>
      </c>
      <c r="K110" s="311">
        <f t="shared" si="23"/>
        <v>0</v>
      </c>
      <c r="L110" s="311">
        <f>K109</f>
        <v>4092.1875</v>
      </c>
      <c r="M110" s="311">
        <f>L109</f>
        <v>5115.234375</v>
      </c>
      <c r="N110" s="311">
        <f>M109</f>
        <v>10230.46875</v>
      </c>
      <c r="O110" s="311">
        <f>N109*Input!$C$89</f>
        <v>0</v>
      </c>
      <c r="P110" s="311">
        <f>O109*Input!$C$89</f>
        <v>0</v>
      </c>
      <c r="R110" s="9"/>
    </row>
    <row r="111" spans="2:39" x14ac:dyDescent="0.25">
      <c r="C111" s="334">
        <v>9</v>
      </c>
      <c r="D111" s="302">
        <v>0</v>
      </c>
      <c r="E111" s="302">
        <v>0</v>
      </c>
      <c r="F111" s="302">
        <v>0</v>
      </c>
      <c r="G111" s="302">
        <v>0</v>
      </c>
      <c r="H111" s="311">
        <f t="shared" si="26"/>
        <v>0</v>
      </c>
      <c r="I111" s="311">
        <f t="shared" si="23"/>
        <v>0</v>
      </c>
      <c r="J111" s="311">
        <f t="shared" si="23"/>
        <v>0</v>
      </c>
      <c r="K111" s="311">
        <f t="shared" si="23"/>
        <v>0</v>
      </c>
      <c r="L111" s="311">
        <f t="shared" si="23"/>
        <v>0</v>
      </c>
      <c r="M111" s="311">
        <f>L110</f>
        <v>4092.1875</v>
      </c>
      <c r="N111" s="335">
        <f>M110</f>
        <v>5115.234375</v>
      </c>
      <c r="O111" s="335">
        <f>N110</f>
        <v>10230.46875</v>
      </c>
      <c r="P111" s="311">
        <f>O110*Input!$C$89</f>
        <v>0</v>
      </c>
      <c r="R111" s="9"/>
    </row>
    <row r="112" spans="2:39" x14ac:dyDescent="0.25">
      <c r="C112" s="334">
        <v>10</v>
      </c>
      <c r="D112" s="302">
        <v>0</v>
      </c>
      <c r="E112" s="302">
        <v>0</v>
      </c>
      <c r="F112" s="302">
        <v>0</v>
      </c>
      <c r="G112" s="302">
        <v>0</v>
      </c>
      <c r="H112" s="311">
        <f t="shared" si="26"/>
        <v>0</v>
      </c>
      <c r="I112" s="311">
        <f t="shared" si="23"/>
        <v>0</v>
      </c>
      <c r="J112" s="311">
        <f t="shared" si="23"/>
        <v>0</v>
      </c>
      <c r="K112" s="311">
        <f t="shared" si="23"/>
        <v>0</v>
      </c>
      <c r="L112" s="311">
        <f t="shared" si="23"/>
        <v>0</v>
      </c>
      <c r="M112" s="311">
        <f t="shared" si="23"/>
        <v>0</v>
      </c>
      <c r="N112" s="311">
        <f>M111</f>
        <v>4092.1875</v>
      </c>
      <c r="O112" s="311">
        <f>N111</f>
        <v>5115.234375</v>
      </c>
      <c r="P112" s="311">
        <f>O111</f>
        <v>10230.46875</v>
      </c>
      <c r="R112" s="9"/>
    </row>
    <row r="113" spans="2:39" ht="26.25" x14ac:dyDescent="0.3">
      <c r="B113" s="72"/>
      <c r="C113" s="72"/>
      <c r="D113" s="68"/>
      <c r="E113" s="68"/>
      <c r="F113" s="68"/>
      <c r="G113" s="76"/>
      <c r="M113" s="13"/>
      <c r="N113" s="13"/>
      <c r="O113" s="13"/>
      <c r="P113" s="13"/>
      <c r="Q113" s="13"/>
      <c r="R113" s="200"/>
      <c r="S113" s="13"/>
      <c r="T113" s="13"/>
      <c r="U113" s="13"/>
      <c r="V113" s="13"/>
      <c r="W113" s="13"/>
      <c r="X113" s="13"/>
      <c r="Y113" s="13"/>
      <c r="Z113" s="13"/>
      <c r="AA113" s="13"/>
      <c r="AB113" s="13"/>
    </row>
    <row r="114" spans="2:39" ht="17.25" customHeight="1" x14ac:dyDescent="0.25">
      <c r="B114" s="72"/>
      <c r="C114" s="72" t="s">
        <v>57</v>
      </c>
      <c r="D114" s="68"/>
      <c r="E114" s="68"/>
      <c r="F114" s="68"/>
      <c r="G114" s="76"/>
      <c r="R114" s="9"/>
    </row>
    <row r="115" spans="2:39" ht="15.75" x14ac:dyDescent="0.25">
      <c r="C115" s="369" t="s">
        <v>253</v>
      </c>
      <c r="D115" s="380" t="s">
        <v>254</v>
      </c>
      <c r="E115" s="381"/>
      <c r="F115" s="381"/>
      <c r="G115" s="382"/>
      <c r="H115" s="367" t="s">
        <v>255</v>
      </c>
      <c r="I115" s="368"/>
      <c r="J115" s="368"/>
      <c r="K115" s="368"/>
      <c r="L115" s="368"/>
      <c r="M115" s="368"/>
      <c r="R115" s="9"/>
    </row>
    <row r="116" spans="2:39" x14ac:dyDescent="0.25">
      <c r="C116" s="369"/>
      <c r="D116" s="180">
        <v>2024</v>
      </c>
      <c r="E116" s="180">
        <v>2025</v>
      </c>
      <c r="F116" s="180">
        <v>2026</v>
      </c>
      <c r="G116" s="180">
        <v>2027</v>
      </c>
      <c r="H116" s="180">
        <v>2028</v>
      </c>
      <c r="I116" s="180">
        <v>2029</v>
      </c>
      <c r="J116" s="180">
        <v>2030</v>
      </c>
      <c r="K116" s="180">
        <v>2031</v>
      </c>
      <c r="L116" s="180">
        <v>2032</v>
      </c>
      <c r="M116" s="180">
        <v>2033</v>
      </c>
      <c r="R116" s="9"/>
    </row>
    <row r="117" spans="2:39" x14ac:dyDescent="0.25">
      <c r="C117" s="334">
        <v>1</v>
      </c>
      <c r="D117" s="302">
        <f>Input!C85</f>
        <v>3880</v>
      </c>
      <c r="E117" s="302">
        <f>D117-SUM(E118:E126)</f>
        <v>970</v>
      </c>
      <c r="F117" s="302">
        <f>D117-SUM(F118:F126)</f>
        <v>970</v>
      </c>
      <c r="G117" s="302">
        <f>D117-SUM(G118:G126)</f>
        <v>970</v>
      </c>
      <c r="H117" s="336">
        <v>0</v>
      </c>
      <c r="I117" s="336">
        <v>0</v>
      </c>
      <c r="J117" s="336">
        <v>0</v>
      </c>
      <c r="K117" s="336">
        <v>0</v>
      </c>
      <c r="L117" s="336">
        <v>0</v>
      </c>
      <c r="M117" s="336">
        <v>0</v>
      </c>
      <c r="R117" s="9"/>
    </row>
    <row r="118" spans="2:39" x14ac:dyDescent="0.25">
      <c r="C118" s="334">
        <v>2</v>
      </c>
      <c r="D118" s="302">
        <f>D111</f>
        <v>0</v>
      </c>
      <c r="E118" s="302">
        <f>D117*Input!$C$89</f>
        <v>2910</v>
      </c>
      <c r="F118" s="302">
        <f>E117*Input!$C$89</f>
        <v>727.5</v>
      </c>
      <c r="G118" s="302">
        <f>F117*Input!$C$89</f>
        <v>727.5</v>
      </c>
      <c r="H118" s="336">
        <f>G117*Input!$C$89</f>
        <v>727.5</v>
      </c>
      <c r="I118" s="336">
        <v>0</v>
      </c>
      <c r="J118" s="336">
        <v>0</v>
      </c>
      <c r="K118" s="336">
        <v>0</v>
      </c>
      <c r="L118" s="336">
        <v>0</v>
      </c>
      <c r="M118" s="336">
        <v>0</v>
      </c>
      <c r="R118" s="9"/>
    </row>
    <row r="119" spans="2:39" x14ac:dyDescent="0.25">
      <c r="C119" s="334">
        <v>3</v>
      </c>
      <c r="D119" s="302">
        <f>D112</f>
        <v>0</v>
      </c>
      <c r="E119" s="302">
        <f>E112</f>
        <v>0</v>
      </c>
      <c r="F119" s="302">
        <f>E118*Input!$C$89</f>
        <v>2182.5</v>
      </c>
      <c r="G119" s="302">
        <f>F118*Input!$C$89</f>
        <v>545.625</v>
      </c>
      <c r="H119" s="296">
        <f>G118*Input!$C$89</f>
        <v>545.625</v>
      </c>
      <c r="I119" s="296">
        <f>H118*0.75</f>
        <v>545.625</v>
      </c>
      <c r="J119" s="296">
        <f t="shared" ref="J119" si="27">I118</f>
        <v>0</v>
      </c>
      <c r="K119" s="296">
        <f t="shared" ref="K119:K120" si="28">J118</f>
        <v>0</v>
      </c>
      <c r="L119" s="296">
        <f t="shared" ref="L119:L121" si="29">K118</f>
        <v>0</v>
      </c>
      <c r="M119" s="296">
        <f t="shared" ref="M119:M122" si="30">L118</f>
        <v>0</v>
      </c>
      <c r="R119" s="9"/>
    </row>
    <row r="120" spans="2:39" x14ac:dyDescent="0.25">
      <c r="C120" s="334">
        <v>4</v>
      </c>
      <c r="D120" s="302">
        <f>C113</f>
        <v>0</v>
      </c>
      <c r="E120" s="302">
        <f>D113</f>
        <v>0</v>
      </c>
      <c r="F120" s="302">
        <f>E113</f>
        <v>0</v>
      </c>
      <c r="G120" s="302">
        <f>F119*Input!$C$89</f>
        <v>1636.875</v>
      </c>
      <c r="H120" s="296">
        <f t="shared" ref="H120:J121" si="31">G119</f>
        <v>545.625</v>
      </c>
      <c r="I120" s="296">
        <f t="shared" si="31"/>
        <v>545.625</v>
      </c>
      <c r="J120" s="296">
        <f t="shared" si="31"/>
        <v>545.625</v>
      </c>
      <c r="K120" s="296">
        <f t="shared" si="28"/>
        <v>0</v>
      </c>
      <c r="L120" s="296">
        <f t="shared" si="29"/>
        <v>0</v>
      </c>
      <c r="M120" s="296">
        <f t="shared" si="30"/>
        <v>0</v>
      </c>
      <c r="R120" s="9"/>
    </row>
    <row r="121" spans="2:39" x14ac:dyDescent="0.25">
      <c r="C121" s="334">
        <v>5</v>
      </c>
      <c r="D121" s="302">
        <v>0</v>
      </c>
      <c r="E121" s="302">
        <v>0</v>
      </c>
      <c r="F121" s="302">
        <v>0</v>
      </c>
      <c r="G121" s="302">
        <v>0</v>
      </c>
      <c r="H121" s="296">
        <f t="shared" si="31"/>
        <v>1636.875</v>
      </c>
      <c r="I121" s="296">
        <f t="shared" si="31"/>
        <v>545.625</v>
      </c>
      <c r="J121" s="296">
        <f t="shared" si="31"/>
        <v>545.625</v>
      </c>
      <c r="K121" s="296">
        <f>J120</f>
        <v>545.625</v>
      </c>
      <c r="L121" s="296">
        <f t="shared" si="29"/>
        <v>0</v>
      </c>
      <c r="M121" s="296">
        <f t="shared" si="30"/>
        <v>0</v>
      </c>
      <c r="R121" s="9"/>
    </row>
    <row r="122" spans="2:39" x14ac:dyDescent="0.25">
      <c r="C122" s="334">
        <v>6</v>
      </c>
      <c r="D122" s="302">
        <v>0</v>
      </c>
      <c r="E122" s="302">
        <v>0</v>
      </c>
      <c r="F122" s="302">
        <v>0</v>
      </c>
      <c r="G122" s="302">
        <v>0</v>
      </c>
      <c r="H122" s="296">
        <f t="shared" ref="H122:H126" si="32">G121</f>
        <v>0</v>
      </c>
      <c r="I122" s="296">
        <f>H121</f>
        <v>1636.875</v>
      </c>
      <c r="J122" s="296">
        <f>I121</f>
        <v>545.625</v>
      </c>
      <c r="K122" s="296">
        <f>J121</f>
        <v>545.625</v>
      </c>
      <c r="L122" s="296">
        <f>K121</f>
        <v>545.625</v>
      </c>
      <c r="M122" s="296">
        <f t="shared" si="30"/>
        <v>0</v>
      </c>
      <c r="R122" s="9"/>
    </row>
    <row r="123" spans="2:39" x14ac:dyDescent="0.25">
      <c r="C123" s="334">
        <v>7</v>
      </c>
      <c r="D123" s="302">
        <v>0</v>
      </c>
      <c r="E123" s="302">
        <v>0</v>
      </c>
      <c r="F123" s="302">
        <v>0</v>
      </c>
      <c r="G123" s="302">
        <v>0</v>
      </c>
      <c r="H123" s="296">
        <f t="shared" si="32"/>
        <v>0</v>
      </c>
      <c r="I123" s="296">
        <f t="shared" ref="I123:I126" si="33">H122</f>
        <v>0</v>
      </c>
      <c r="J123" s="296">
        <f>I122</f>
        <v>1636.875</v>
      </c>
      <c r="K123" s="296">
        <f>J122</f>
        <v>545.625</v>
      </c>
      <c r="L123" s="296">
        <f>K122</f>
        <v>545.625</v>
      </c>
      <c r="M123" s="296">
        <f>L122</f>
        <v>545.625</v>
      </c>
      <c r="R123" s="9"/>
    </row>
    <row r="124" spans="2:39" x14ac:dyDescent="0.25">
      <c r="C124" s="334">
        <v>8</v>
      </c>
      <c r="D124" s="302">
        <v>0</v>
      </c>
      <c r="E124" s="302">
        <v>0</v>
      </c>
      <c r="F124" s="302">
        <v>0</v>
      </c>
      <c r="G124" s="302">
        <v>0</v>
      </c>
      <c r="H124" s="296">
        <f t="shared" si="32"/>
        <v>0</v>
      </c>
      <c r="I124" s="296">
        <f t="shared" si="33"/>
        <v>0</v>
      </c>
      <c r="J124" s="296">
        <f t="shared" ref="J124:J126" si="34">I123</f>
        <v>0</v>
      </c>
      <c r="K124" s="296">
        <f>J123</f>
        <v>1636.875</v>
      </c>
      <c r="L124" s="296">
        <f>K123</f>
        <v>545.625</v>
      </c>
      <c r="M124" s="296">
        <f>L123</f>
        <v>545.625</v>
      </c>
      <c r="R124" s="9"/>
    </row>
    <row r="125" spans="2:39" x14ac:dyDescent="0.25">
      <c r="C125" s="334">
        <v>9</v>
      </c>
      <c r="D125" s="302">
        <v>0</v>
      </c>
      <c r="E125" s="302">
        <v>0</v>
      </c>
      <c r="F125" s="302">
        <v>0</v>
      </c>
      <c r="G125" s="302">
        <v>0</v>
      </c>
      <c r="H125" s="296">
        <f t="shared" si="32"/>
        <v>0</v>
      </c>
      <c r="I125" s="296">
        <f t="shared" si="33"/>
        <v>0</v>
      </c>
      <c r="J125" s="296">
        <f t="shared" si="34"/>
        <v>0</v>
      </c>
      <c r="K125" s="296">
        <f t="shared" ref="K125:K126" si="35">J124</f>
        <v>0</v>
      </c>
      <c r="L125" s="296">
        <f>K124</f>
        <v>1636.875</v>
      </c>
      <c r="M125" s="296">
        <f>L124</f>
        <v>545.625</v>
      </c>
      <c r="R125" s="9"/>
    </row>
    <row r="126" spans="2:39" x14ac:dyDescent="0.25">
      <c r="C126" s="334">
        <v>10</v>
      </c>
      <c r="D126" s="302">
        <v>0</v>
      </c>
      <c r="E126" s="302">
        <v>0</v>
      </c>
      <c r="F126" s="302">
        <v>0</v>
      </c>
      <c r="G126" s="302">
        <v>0</v>
      </c>
      <c r="H126" s="296">
        <f t="shared" si="32"/>
        <v>0</v>
      </c>
      <c r="I126" s="296">
        <f t="shared" si="33"/>
        <v>0</v>
      </c>
      <c r="J126" s="296">
        <f t="shared" si="34"/>
        <v>0</v>
      </c>
      <c r="K126" s="296">
        <f t="shared" si="35"/>
        <v>0</v>
      </c>
      <c r="L126" s="296">
        <f t="shared" ref="L126" si="36">K125</f>
        <v>0</v>
      </c>
      <c r="M126" s="296">
        <f>L125</f>
        <v>1636.875</v>
      </c>
      <c r="R126" s="9"/>
    </row>
    <row r="127" spans="2:39" ht="18.600000000000001" customHeight="1" x14ac:dyDescent="0.25">
      <c r="B127" s="72"/>
      <c r="C127" s="72"/>
      <c r="D127" s="68"/>
      <c r="E127" s="68"/>
      <c r="F127" s="68"/>
      <c r="R127" s="9"/>
    </row>
    <row r="128" spans="2:39" s="32" customFormat="1" ht="19.5" customHeight="1" x14ac:dyDescent="0.3">
      <c r="B128" s="161" t="s">
        <v>256</v>
      </c>
      <c r="C128" s="73"/>
      <c r="D128" s="74"/>
      <c r="E128" s="74"/>
      <c r="F128" s="74"/>
      <c r="R128" s="9"/>
      <c r="S128"/>
      <c r="T128"/>
      <c r="U128"/>
      <c r="V128"/>
      <c r="W128"/>
      <c r="X128"/>
      <c r="Y128"/>
      <c r="Z128"/>
      <c r="AA128"/>
      <c r="AB128"/>
      <c r="AC128"/>
      <c r="AD128"/>
      <c r="AE128"/>
      <c r="AF128"/>
      <c r="AG128"/>
      <c r="AH128"/>
      <c r="AI128"/>
      <c r="AJ128"/>
      <c r="AK128"/>
      <c r="AL128"/>
      <c r="AM128"/>
    </row>
    <row r="129" spans="2:39" s="72" customFormat="1" ht="19.5" customHeight="1" x14ac:dyDescent="0.25">
      <c r="R129" s="204"/>
    </row>
    <row r="130" spans="2:39" ht="16.5" customHeight="1" x14ac:dyDescent="0.25">
      <c r="B130" s="3" t="s">
        <v>167</v>
      </c>
      <c r="C130" s="86"/>
      <c r="D130" s="175">
        <v>2024</v>
      </c>
      <c r="E130" s="175">
        <v>2025</v>
      </c>
      <c r="F130" s="175">
        <v>2026</v>
      </c>
      <c r="G130" s="175">
        <v>2027</v>
      </c>
      <c r="H130" s="175">
        <v>2028</v>
      </c>
      <c r="I130" s="175">
        <v>2029</v>
      </c>
      <c r="J130" s="175">
        <v>2030</v>
      </c>
      <c r="K130" s="175">
        <v>2031</v>
      </c>
      <c r="L130" s="175">
        <v>2032</v>
      </c>
      <c r="M130" s="175">
        <v>2033</v>
      </c>
      <c r="N130" s="175">
        <v>2034</v>
      </c>
      <c r="O130" s="175">
        <v>2035</v>
      </c>
      <c r="P130" s="175">
        <v>2036</v>
      </c>
      <c r="R130" s="9"/>
    </row>
    <row r="131" spans="2:39" s="76" customFormat="1" ht="16.5" customHeight="1" x14ac:dyDescent="0.25">
      <c r="B131" s="295" t="s">
        <v>216</v>
      </c>
      <c r="C131" s="337" t="s">
        <v>257</v>
      </c>
      <c r="D131" s="338">
        <v>0</v>
      </c>
      <c r="E131" s="338">
        <f>E103*E45</f>
        <v>191592.02707857697</v>
      </c>
      <c r="F131" s="338">
        <f>F104*F45+F103*E45/(1+Input!C12)^1</f>
        <v>714822.77649618522</v>
      </c>
      <c r="G131" s="338">
        <f>G105*G45+G104*F45/(1+Input!C12)^1+G103*E45/(1+Input!C12)^2</f>
        <v>1263833.7265774324</v>
      </c>
      <c r="H131" s="338">
        <f>H106*H45+H105*G45/(1+Input!C12)^1+H104*F45/(1+Input!C12)^2</f>
        <v>1642274.9032527993</v>
      </c>
      <c r="I131" s="338">
        <f>I107*I45+I106*H45/(1+Input!C12)^1+I105*G45/(1+Input!C12)^2</f>
        <v>1162653.4430432441</v>
      </c>
      <c r="J131" s="338">
        <f>J108*J45+J107*I45/(1+Input!C12)^1+J106*H45/(1+Input!C12)^2</f>
        <v>1055645.6169858808</v>
      </c>
      <c r="K131" s="338">
        <f>K109*K45+K108*J45/(1+Input!C12)^1+K107*I45/(1+Input!C12)^2</f>
        <v>1015321.6054802978</v>
      </c>
      <c r="L131" s="338">
        <f>L110*L45+L109*K45/(1+Input!C12)^1+L108*J45/(1+Input!C12)^2</f>
        <v>1038585.0652329136</v>
      </c>
      <c r="M131" s="338">
        <f>M111*M45+M110*L45/(1+Input!C12)^1+M109*K45/(1+Input!C12)^2</f>
        <v>1053014.5807220861</v>
      </c>
      <c r="N131" s="338">
        <f>N112*N45+N111*M45/(1+Input!C12)^1+N110*L45/(1+Input!C12)^2</f>
        <v>1612325.8488982413</v>
      </c>
      <c r="O131" s="310">
        <f>O112*N45/(1+Input!C12)^1+O111*M45/(1+Input!C12)^2</f>
        <v>1438173.9662336758</v>
      </c>
      <c r="P131" s="310">
        <f>P112*N45/(1+Input!C12)^2</f>
        <v>1807071.0118892924</v>
      </c>
      <c r="R131" s="205"/>
    </row>
    <row r="132" spans="2:39" s="76" customFormat="1" ht="16.5" customHeight="1" x14ac:dyDescent="0.25">
      <c r="B132" s="295" t="s">
        <v>57</v>
      </c>
      <c r="C132" s="337" t="s">
        <v>257</v>
      </c>
      <c r="D132" s="338">
        <f>D117*D93</f>
        <v>30543.832839357121</v>
      </c>
      <c r="E132" s="338">
        <f>E118*E93+E117*D93/(1+Input!C12)^1</f>
        <v>107891.41300390709</v>
      </c>
      <c r="F132" s="338">
        <f>F119*F93+F118*E93/(1+Input!C12)^1+F117*D93/(1+Input!C12)^2</f>
        <v>71227.327389786777</v>
      </c>
      <c r="G132" s="338">
        <f>G120*G93+G119*F93/(1+Input!C12)^1+G118*E93/(1+Input!C12)^2+G117*D93/(1+Input!C12)^3</f>
        <v>69404.133104168257</v>
      </c>
      <c r="H132" s="338">
        <f>H121*H93+H120*G93/(1+Input!C12)^1+H119*F93/(1+Input!C12)^2+H118*E93/(1+Input!C12)^3</f>
        <v>65976.475952079913</v>
      </c>
      <c r="I132" s="338">
        <f>I122*I93+I121*H93/(1+Input!C12)^1+I120*G93/(1+Input!C12)^2+I119*F93/(1+Input!C12)^3</f>
        <v>68561.033832699803</v>
      </c>
      <c r="J132" s="338">
        <f>J123*J93+J122*I93/(1+Input!C12)^1+J121*H93/(1+Input!C12)^2+J120*G93/(1+Input!C12)^3</f>
        <v>98378.278060697674</v>
      </c>
      <c r="K132" s="338">
        <f>K124*K93+K123*J93/(1+Input!C12)^1+K122*I93/(1+Input!C12)^2+K121*H93/(1+Input!C12)^3</f>
        <v>101607.95059786706</v>
      </c>
      <c r="L132" s="338">
        <f>L125*L93+L124*K93/(1+Input!C12)^1+L123*J93/(1+Input!C12)^2+L122*I93/(1+Input!C12)^3</f>
        <v>435984.0966351502</v>
      </c>
      <c r="M132" s="338">
        <f>M126*M93+M125*L93/(1+Input!C12)^1+M124*K93/(1+Input!C12)^2+M123*J93/(1+Input!C12)^3</f>
        <v>169046.05460799014</v>
      </c>
      <c r="N132" s="338"/>
      <c r="O132" s="338"/>
      <c r="P132" s="338"/>
      <c r="R132" s="205"/>
    </row>
    <row r="133" spans="2:39" ht="15.75" customHeight="1" x14ac:dyDescent="0.3">
      <c r="B133" s="87" t="s">
        <v>258</v>
      </c>
      <c r="C133" s="77" t="s">
        <v>259</v>
      </c>
      <c r="D133" s="174">
        <f>SUM(D131:D132)</f>
        <v>30543.832839357121</v>
      </c>
      <c r="E133" s="174">
        <f>SUM(E131:E132)</f>
        <v>299483.44008248404</v>
      </c>
      <c r="F133" s="174">
        <f>SUM(F131:F132)</f>
        <v>786050.10388597194</v>
      </c>
      <c r="G133" s="174">
        <f>SUM(G131:G132)</f>
        <v>1333237.8596816007</v>
      </c>
      <c r="H133" s="174">
        <f>SUM(H131:H132)</f>
        <v>1708251.3792048793</v>
      </c>
      <c r="I133" s="174">
        <f t="shared" ref="I133:P133" si="37">SUM(I131:I132)</f>
        <v>1231214.4768759438</v>
      </c>
      <c r="J133" s="174">
        <f t="shared" si="37"/>
        <v>1154023.8950465785</v>
      </c>
      <c r="K133" s="174">
        <f t="shared" si="37"/>
        <v>1116929.5560781648</v>
      </c>
      <c r="L133" s="174">
        <f t="shared" si="37"/>
        <v>1474569.1618680637</v>
      </c>
      <c r="M133" s="174">
        <f t="shared" si="37"/>
        <v>1222060.6353300763</v>
      </c>
      <c r="N133" s="174">
        <f t="shared" si="37"/>
        <v>1612325.8488982413</v>
      </c>
      <c r="O133" s="174">
        <f t="shared" si="37"/>
        <v>1438173.9662336758</v>
      </c>
      <c r="P133" s="174">
        <f t="shared" si="37"/>
        <v>1807071.0118892924</v>
      </c>
      <c r="Q133" s="13"/>
      <c r="R133" s="200"/>
      <c r="S133" s="13"/>
      <c r="T133" s="13"/>
      <c r="U133" s="13"/>
      <c r="V133" s="13"/>
      <c r="W133" s="13"/>
      <c r="X133" s="13"/>
      <c r="Y133" s="13"/>
      <c r="Z133" s="13"/>
      <c r="AA133" s="13"/>
      <c r="AB133" s="13"/>
    </row>
    <row r="134" spans="2:39" x14ac:dyDescent="0.25">
      <c r="B134" s="59"/>
      <c r="D134" s="76"/>
      <c r="E134" s="76"/>
      <c r="F134" s="76"/>
      <c r="G134" s="76"/>
      <c r="H134" s="76"/>
      <c r="I134" s="76"/>
      <c r="J134" s="76"/>
      <c r="K134" s="76"/>
      <c r="L134" s="76"/>
      <c r="M134" s="76"/>
      <c r="N134" s="76"/>
      <c r="R134" s="9"/>
    </row>
    <row r="135" spans="2:39" s="32" customFormat="1" ht="21" customHeight="1" x14ac:dyDescent="0.3">
      <c r="B135" s="194" t="s">
        <v>260</v>
      </c>
      <c r="C135" s="6"/>
      <c r="D135" s="6"/>
      <c r="E135" s="6"/>
      <c r="F135" s="6"/>
      <c r="G135" s="6"/>
      <c r="H135" s="6"/>
      <c r="I135" s="6"/>
      <c r="J135" s="6"/>
      <c r="K135" s="6"/>
      <c r="L135" s="6"/>
      <c r="R135" s="9"/>
      <c r="S135"/>
      <c r="T135"/>
      <c r="U135"/>
      <c r="V135"/>
      <c r="W135"/>
      <c r="X135"/>
      <c r="Y135"/>
      <c r="Z135"/>
      <c r="AA135"/>
      <c r="AB135"/>
      <c r="AC135"/>
      <c r="AD135"/>
      <c r="AE135"/>
      <c r="AF135"/>
      <c r="AG135"/>
      <c r="AH135"/>
      <c r="AI135"/>
      <c r="AJ135"/>
      <c r="AK135"/>
      <c r="AL135"/>
      <c r="AM135"/>
    </row>
    <row r="136" spans="2:39" ht="18.75" x14ac:dyDescent="0.3">
      <c r="B136" s="13"/>
      <c r="C136" s="13"/>
      <c r="D136" s="13"/>
      <c r="E136" s="13"/>
      <c r="F136" s="13"/>
      <c r="G136" s="13"/>
      <c r="H136" s="13"/>
      <c r="I136" s="13"/>
      <c r="J136" s="13"/>
      <c r="K136" s="13"/>
      <c r="L136" s="13"/>
      <c r="R136" s="9"/>
    </row>
    <row r="137" spans="2:39" ht="18.75" x14ac:dyDescent="0.3">
      <c r="B137" s="181"/>
      <c r="C137" s="13"/>
      <c r="D137" s="366" t="s">
        <v>261</v>
      </c>
      <c r="E137" s="366"/>
      <c r="F137" s="366"/>
      <c r="G137" s="366"/>
      <c r="H137" s="366" t="s">
        <v>262</v>
      </c>
      <c r="I137" s="366"/>
      <c r="J137" s="366"/>
      <c r="K137" s="13"/>
      <c r="L137" s="13"/>
      <c r="R137" s="9"/>
    </row>
    <row r="138" spans="2:39" ht="15.75" x14ac:dyDescent="0.25">
      <c r="B138" s="392" t="s">
        <v>167</v>
      </c>
      <c r="C138" s="393"/>
      <c r="D138" s="175">
        <v>2024</v>
      </c>
      <c r="E138" s="175">
        <v>2025</v>
      </c>
      <c r="F138" s="175">
        <v>2026</v>
      </c>
      <c r="G138" s="175">
        <v>2027</v>
      </c>
      <c r="H138" s="175">
        <v>2028</v>
      </c>
      <c r="I138" s="175">
        <v>2029</v>
      </c>
      <c r="J138" s="175" t="s">
        <v>85</v>
      </c>
      <c r="K138" s="66"/>
      <c r="R138" s="9"/>
    </row>
    <row r="139" spans="2:39" x14ac:dyDescent="0.25">
      <c r="B139" s="376" t="s">
        <v>263</v>
      </c>
      <c r="C139" s="377"/>
      <c r="D139" s="339">
        <f>(184639-5710)-(184639-5710)*'Sensitivity analysis'!C8</f>
        <v>152089.65</v>
      </c>
      <c r="E139" s="339">
        <f>(864901-137508)-(864901-137508)*'Sensitivity analysis'!C8</f>
        <v>618284.05000000005</v>
      </c>
      <c r="F139" s="339">
        <f>(991153-68477)-(991153-68477)*'Sensitivity analysis'!C8</f>
        <v>784274.6</v>
      </c>
      <c r="G139" s="339">
        <f>(1303944-24980+148521)-(1303944-24980+148521)*'Sensitivity analysis'!C8</f>
        <v>1213362.25</v>
      </c>
      <c r="H139" s="340"/>
      <c r="I139" s="340"/>
      <c r="J139" s="295" t="s">
        <v>264</v>
      </c>
      <c r="K139" s="66"/>
      <c r="R139" s="9"/>
    </row>
    <row r="140" spans="2:39" x14ac:dyDescent="0.25">
      <c r="B140" s="376" t="s">
        <v>265</v>
      </c>
      <c r="C140" s="377"/>
      <c r="D140" s="339">
        <f>D139</f>
        <v>152089.65</v>
      </c>
      <c r="E140" s="339">
        <f>E139/(Input!G$95/Input!$F$95)</f>
        <v>604162.9275419804</v>
      </c>
      <c r="F140" s="339">
        <f>F139/(Input!H$95/Input!$F$95)</f>
        <v>752130.86509787652</v>
      </c>
      <c r="G140" s="339">
        <f>G139/(Input!I$95/Input!$F$95)</f>
        <v>1141210.7423743398</v>
      </c>
      <c r="H140" s="340"/>
      <c r="I140" s="340"/>
      <c r="J140" s="295" t="s">
        <v>266</v>
      </c>
      <c r="K140" s="66"/>
      <c r="R140" s="9"/>
    </row>
    <row r="141" spans="2:39" ht="16.149999999999999" customHeight="1" x14ac:dyDescent="0.3">
      <c r="B141" s="376" t="s">
        <v>267</v>
      </c>
      <c r="C141" s="377"/>
      <c r="D141" s="339">
        <f>D140/(1+Input!$C$12)^(D138-2024)</f>
        <v>152089.65</v>
      </c>
      <c r="E141" s="339">
        <f>E140/(1+Input!$C$12)^(E138-2024)</f>
        <v>549239.02503816399</v>
      </c>
      <c r="F141" s="339">
        <f>F140/(1+Input!$C$12)^(F138-2024)</f>
        <v>621595.75627923675</v>
      </c>
      <c r="G141" s="339">
        <f>G140/(1+Input!$C$12)^(G138-2024)</f>
        <v>857408.52169371862</v>
      </c>
      <c r="H141" s="340"/>
      <c r="I141" s="340"/>
      <c r="J141" s="5"/>
      <c r="K141" s="66"/>
      <c r="O141" s="13"/>
      <c r="P141" s="13"/>
      <c r="Q141" s="13"/>
      <c r="R141" s="200"/>
      <c r="S141" s="13"/>
      <c r="T141" s="13"/>
      <c r="U141" s="13"/>
      <c r="V141" s="13"/>
      <c r="W141" s="13"/>
      <c r="X141" s="13"/>
      <c r="Y141" s="13"/>
      <c r="Z141" s="13"/>
      <c r="AA141" s="13"/>
      <c r="AB141" s="13"/>
    </row>
    <row r="142" spans="2:39" ht="16.899999999999999" customHeight="1" x14ac:dyDescent="0.3">
      <c r="B142" s="376" t="s">
        <v>268</v>
      </c>
      <c r="C142" s="377"/>
      <c r="D142" s="339">
        <f>D141/(Input!$F$95/Input!$C$95)</f>
        <v>129913.28284785069</v>
      </c>
      <c r="E142" s="339">
        <f>E141/(Input!$F$95/Input!$C$95)</f>
        <v>469153.84979096701</v>
      </c>
      <c r="F142" s="339">
        <f>F141/(Input!$F$95/Input!$C$95)</f>
        <v>530960.16265753878</v>
      </c>
      <c r="G142" s="339">
        <f>G141/(Input!$F$95/Input!$C$95)</f>
        <v>732388.79696911387</v>
      </c>
      <c r="H142" s="340">
        <f>Input!F87*C145</f>
        <v>495268.54531159328</v>
      </c>
      <c r="I142" s="340">
        <f>Input!F87*C145</f>
        <v>495268.54531159328</v>
      </c>
      <c r="J142" s="5"/>
      <c r="M142" s="13"/>
      <c r="N142" s="13"/>
      <c r="R142" s="9"/>
    </row>
    <row r="143" spans="2:39" ht="35.1" customHeight="1" x14ac:dyDescent="0.25">
      <c r="B143" s="193"/>
      <c r="D143" s="79"/>
      <c r="E143" s="79"/>
      <c r="F143" s="79"/>
      <c r="G143" s="79"/>
      <c r="H143" s="67"/>
      <c r="R143" s="9"/>
    </row>
    <row r="144" spans="2:39" ht="17.45" customHeight="1" x14ac:dyDescent="0.25">
      <c r="B144" s="195" t="s">
        <v>269</v>
      </c>
      <c r="C144" s="196">
        <f>SUM(D142:G142)</f>
        <v>1862416.0922654704</v>
      </c>
      <c r="E144" s="68"/>
      <c r="F144" s="68"/>
      <c r="G144" s="67"/>
      <c r="H144" s="67"/>
      <c r="R144" s="9"/>
    </row>
    <row r="145" spans="1:39" ht="16.899999999999999" customHeight="1" x14ac:dyDescent="0.25">
      <c r="B145" s="195" t="s">
        <v>270</v>
      </c>
      <c r="C145" s="196">
        <f>C144/Input!I87</f>
        <v>34.039075279147305</v>
      </c>
      <c r="D145" s="294" t="s">
        <v>271</v>
      </c>
      <c r="E145" s="68"/>
      <c r="F145" s="68"/>
      <c r="G145" s="67"/>
      <c r="H145" s="67"/>
      <c r="R145" s="9"/>
    </row>
    <row r="146" spans="1:39" ht="18" customHeight="1" x14ac:dyDescent="0.25">
      <c r="B146" s="198" t="s">
        <v>272</v>
      </c>
      <c r="C146" s="197">
        <f>SUM(D142:I142)</f>
        <v>2852953.1828886573</v>
      </c>
      <c r="D146" s="294"/>
      <c r="E146" s="68"/>
      <c r="F146" s="68"/>
      <c r="G146" s="67"/>
      <c r="H146" s="67"/>
      <c r="R146" s="9"/>
    </row>
    <row r="147" spans="1:39" ht="15.75" x14ac:dyDescent="0.25">
      <c r="B147" s="198" t="s">
        <v>273</v>
      </c>
      <c r="C147" s="197">
        <f>C146/Input!F85</f>
        <v>86.505554362906523</v>
      </c>
      <c r="D147" s="294" t="s">
        <v>274</v>
      </c>
      <c r="G147" s="67"/>
      <c r="R147" s="9"/>
    </row>
    <row r="148" spans="1:39" ht="26.25" x14ac:dyDescent="0.3">
      <c r="B148" s="192"/>
      <c r="C148" s="78"/>
      <c r="D148" s="68"/>
      <c r="E148" s="68"/>
      <c r="F148" s="68"/>
      <c r="G148" s="67"/>
      <c r="H148" s="67"/>
      <c r="O148" s="13"/>
      <c r="P148" s="13"/>
      <c r="Q148" s="13"/>
      <c r="R148" s="200"/>
      <c r="S148" s="13"/>
      <c r="T148" s="13"/>
      <c r="U148" s="13"/>
      <c r="V148" s="13"/>
      <c r="W148" s="13"/>
      <c r="X148" s="13"/>
      <c r="Y148" s="13"/>
      <c r="Z148" s="13"/>
      <c r="AA148" s="13"/>
      <c r="AB148" s="13"/>
    </row>
    <row r="149" spans="1:39" s="32" customFormat="1" ht="23.45" customHeight="1" x14ac:dyDescent="0.3">
      <c r="B149" s="194" t="s">
        <v>275</v>
      </c>
      <c r="C149" s="63"/>
      <c r="D149" s="64"/>
      <c r="E149" s="65"/>
      <c r="F149" s="6"/>
      <c r="G149" s="6"/>
      <c r="H149" s="6"/>
      <c r="I149" s="6"/>
      <c r="J149" s="6"/>
      <c r="K149" s="6"/>
      <c r="L149" s="6"/>
      <c r="M149" s="6"/>
      <c r="N149" s="6"/>
      <c r="R149" s="9"/>
      <c r="S149"/>
      <c r="T149"/>
      <c r="U149"/>
      <c r="V149"/>
      <c r="W149"/>
      <c r="X149"/>
      <c r="Y149"/>
      <c r="Z149"/>
      <c r="AA149"/>
      <c r="AB149"/>
      <c r="AC149"/>
      <c r="AD149"/>
      <c r="AE149"/>
      <c r="AF149"/>
      <c r="AG149"/>
      <c r="AH149"/>
      <c r="AI149"/>
      <c r="AJ149"/>
      <c r="AK149"/>
      <c r="AL149"/>
      <c r="AM149"/>
    </row>
    <row r="150" spans="1:39" x14ac:dyDescent="0.25">
      <c r="B150" s="60"/>
      <c r="R150" s="9"/>
    </row>
    <row r="151" spans="1:39" ht="15.75" x14ac:dyDescent="0.25">
      <c r="B151" s="198" t="s">
        <v>63</v>
      </c>
      <c r="C151" s="197">
        <f>SUM(D133:P133)</f>
        <v>15213935.167914329</v>
      </c>
      <c r="R151" s="9"/>
    </row>
    <row r="152" spans="1:39" ht="15.75" x14ac:dyDescent="0.25">
      <c r="B152" s="198" t="s">
        <v>276</v>
      </c>
      <c r="C152" s="197">
        <f>SUM(D131:P131)/Input!F81</f>
        <v>480.93864508215211</v>
      </c>
      <c r="R152" s="9"/>
    </row>
    <row r="153" spans="1:39" ht="15.75" x14ac:dyDescent="0.25">
      <c r="B153" s="198" t="s">
        <v>277</v>
      </c>
      <c r="C153" s="197">
        <f>SUM(D132:P132)/Input!F83</f>
        <v>314.07747320198558</v>
      </c>
      <c r="R153" s="9"/>
    </row>
    <row r="154" spans="1:39" ht="15.75" x14ac:dyDescent="0.25">
      <c r="B154" s="198" t="s">
        <v>278</v>
      </c>
      <c r="C154" s="197">
        <f>C151/32980</f>
        <v>461.30791897860308</v>
      </c>
      <c r="R154" s="9"/>
    </row>
    <row r="155" spans="1:39" ht="15.75" x14ac:dyDescent="0.25">
      <c r="B155" s="198" t="s">
        <v>279</v>
      </c>
      <c r="C155" s="197">
        <f>C151-C146</f>
        <v>12360981.985025672</v>
      </c>
      <c r="R155" s="9"/>
    </row>
    <row r="156" spans="1:39" ht="15.75" x14ac:dyDescent="0.25">
      <c r="B156" s="198" t="s">
        <v>280</v>
      </c>
      <c r="C156" s="197">
        <f>C154-C147</f>
        <v>374.80236461569655</v>
      </c>
      <c r="R156" s="9"/>
    </row>
    <row r="157" spans="1:39" ht="15.75" x14ac:dyDescent="0.25">
      <c r="B157" s="198" t="s">
        <v>281</v>
      </c>
      <c r="C157" s="199">
        <f>(AVERAGE(D43:N43)*(Input!F81/Input!F85)+AVERAGE(D91:M91)*(Input!F83/Input!F85))/Input!C30</f>
        <v>9.2676601392566976E-2</v>
      </c>
      <c r="R157" s="9"/>
    </row>
    <row r="158" spans="1:39" x14ac:dyDescent="0.25">
      <c r="B158" s="59"/>
      <c r="R158" s="9"/>
    </row>
    <row r="159" spans="1:39" ht="18.75" x14ac:dyDescent="0.3">
      <c r="A159" s="161"/>
      <c r="B159" s="161" t="s">
        <v>282</v>
      </c>
      <c r="C159" s="6"/>
      <c r="D159" s="6"/>
      <c r="E159" s="6"/>
      <c r="F159" s="6"/>
      <c r="G159" s="6"/>
      <c r="H159" s="6"/>
      <c r="I159" s="6"/>
      <c r="J159" s="6"/>
      <c r="K159" s="6"/>
      <c r="L159" s="6"/>
      <c r="M159" s="32"/>
      <c r="N159" s="32"/>
      <c r="O159" s="32"/>
      <c r="P159" s="32"/>
      <c r="Q159" s="32"/>
      <c r="R159" s="9"/>
    </row>
    <row r="160" spans="1:39" x14ac:dyDescent="0.25">
      <c r="B160" s="60"/>
      <c r="R160" s="9"/>
    </row>
    <row r="161" spans="1:18" ht="30" x14ac:dyDescent="0.25">
      <c r="B161" s="14" t="s">
        <v>283</v>
      </c>
      <c r="C161" s="16">
        <f>C151/C144</f>
        <v>8.1689238141235521</v>
      </c>
      <c r="D161" s="15" t="s">
        <v>284</v>
      </c>
      <c r="E161" s="69"/>
      <c r="R161" s="9"/>
    </row>
    <row r="162" spans="1:18" x14ac:dyDescent="0.25">
      <c r="B162" s="59"/>
      <c r="R162" s="9"/>
    </row>
    <row r="163" spans="1:18" x14ac:dyDescent="0.25">
      <c r="A163" s="60"/>
      <c r="B163" s="60"/>
      <c r="C163" s="60"/>
      <c r="D163" s="60"/>
      <c r="E163" s="60"/>
      <c r="F163" s="60"/>
      <c r="G163" s="60"/>
      <c r="H163" s="60"/>
      <c r="I163" s="60"/>
      <c r="J163" s="60"/>
      <c r="K163" s="60"/>
      <c r="L163" s="60"/>
      <c r="R163" s="9"/>
    </row>
    <row r="164" spans="1:18" x14ac:dyDescent="0.25">
      <c r="A164" s="59"/>
      <c r="B164" s="59"/>
      <c r="C164" s="59"/>
      <c r="D164" s="59"/>
      <c r="E164" s="59"/>
      <c r="F164" s="59"/>
      <c r="G164" s="59"/>
      <c r="H164" s="59"/>
      <c r="I164" s="59"/>
      <c r="J164" s="59"/>
      <c r="K164" s="59"/>
      <c r="L164" s="59"/>
      <c r="M164" s="59"/>
      <c r="N164" s="59"/>
      <c r="O164" s="59"/>
      <c r="P164" s="59"/>
      <c r="Q164" s="59"/>
    </row>
    <row r="167" spans="1:18" ht="15" customHeight="1" x14ac:dyDescent="0.25"/>
    <row r="178" ht="31.5" customHeight="1" x14ac:dyDescent="0.25"/>
    <row r="193" spans="2:12" x14ac:dyDescent="0.25">
      <c r="B193" s="9"/>
      <c r="E193" s="341"/>
      <c r="F193" s="342"/>
      <c r="G193" s="342"/>
      <c r="H193" s="342"/>
      <c r="I193" s="342"/>
      <c r="J193" s="342"/>
      <c r="K193" s="342"/>
      <c r="L193" s="342"/>
    </row>
    <row r="194" spans="2:12" x14ac:dyDescent="0.25">
      <c r="B194" s="9"/>
      <c r="E194" s="206"/>
      <c r="F194" s="342"/>
      <c r="G194" s="342"/>
      <c r="H194" s="342"/>
      <c r="I194" s="342"/>
      <c r="J194" s="342"/>
      <c r="K194" s="207"/>
      <c r="L194" s="342"/>
    </row>
    <row r="195" spans="2:12" x14ac:dyDescent="0.25">
      <c r="B195" s="9"/>
      <c r="E195" s="341"/>
      <c r="F195" s="342"/>
      <c r="G195" s="342"/>
      <c r="H195" s="342"/>
      <c r="I195" s="342"/>
      <c r="J195" s="342"/>
      <c r="K195" s="342"/>
      <c r="L195" s="342"/>
    </row>
    <row r="196" spans="2:12" x14ac:dyDescent="0.25">
      <c r="B196" s="9"/>
      <c r="E196" s="341"/>
      <c r="F196" s="342"/>
      <c r="G196" s="342"/>
      <c r="H196" s="342"/>
      <c r="I196" s="342"/>
      <c r="J196" s="342"/>
      <c r="K196" s="342"/>
      <c r="L196" s="342"/>
    </row>
    <row r="197" spans="2:12" x14ac:dyDescent="0.25">
      <c r="B197" s="9"/>
      <c r="E197" s="342"/>
      <c r="F197" s="342"/>
      <c r="G197" s="342"/>
      <c r="H197" s="342"/>
      <c r="I197" s="342"/>
      <c r="J197" s="342"/>
      <c r="K197" s="342"/>
    </row>
  </sheetData>
  <mergeCells count="30">
    <mergeCell ref="B63:B70"/>
    <mergeCell ref="B71:B80"/>
    <mergeCell ref="B91:C91"/>
    <mergeCell ref="B5:B14"/>
    <mergeCell ref="B23:B32"/>
    <mergeCell ref="B33:B42"/>
    <mergeCell ref="B43:C43"/>
    <mergeCell ref="B15:B22"/>
    <mergeCell ref="B141:C141"/>
    <mergeCell ref="B142:C142"/>
    <mergeCell ref="B44:C44"/>
    <mergeCell ref="D115:G115"/>
    <mergeCell ref="B93:C93"/>
    <mergeCell ref="B95:C96"/>
    <mergeCell ref="D95:F96"/>
    <mergeCell ref="D101:G101"/>
    <mergeCell ref="B45:C45"/>
    <mergeCell ref="B47:C48"/>
    <mergeCell ref="B138:C138"/>
    <mergeCell ref="B139:C139"/>
    <mergeCell ref="B140:C140"/>
    <mergeCell ref="B92:C92"/>
    <mergeCell ref="B81:B90"/>
    <mergeCell ref="B53:B62"/>
    <mergeCell ref="H137:J137"/>
    <mergeCell ref="H115:M115"/>
    <mergeCell ref="C115:C116"/>
    <mergeCell ref="C101:C102"/>
    <mergeCell ref="D47:F48"/>
    <mergeCell ref="D137:G137"/>
  </mergeCells>
  <phoneticPr fontId="24" type="noConversion"/>
  <conditionalFormatting sqref="B138">
    <cfRule type="cellIs" dxfId="13" priority="33" operator="lessThan">
      <formula>0</formula>
    </cfRule>
  </conditionalFormatting>
  <conditionalFormatting sqref="C52:M52">
    <cfRule type="cellIs" dxfId="12" priority="16" operator="lessThan">
      <formula>0</formula>
    </cfRule>
  </conditionalFormatting>
  <conditionalFormatting sqref="C4:N4 D5:N13 E14:N14 F15:N22 D17:E21 D26:E30 F26:N34 E31 D31:D32 D35:N42 D53:M70 D83:M90 D138:J138">
    <cfRule type="cellIs" dxfId="11" priority="64" operator="lessThan">
      <formula>0</formula>
    </cfRule>
  </conditionalFormatting>
  <conditionalFormatting sqref="D101 H101">
    <cfRule type="cellIs" dxfId="10" priority="7" operator="lessThan">
      <formula>0</formula>
    </cfRule>
  </conditionalFormatting>
  <conditionalFormatting sqref="D115 H115">
    <cfRule type="cellIs" dxfId="9" priority="6" operator="lessThan">
      <formula>0</formula>
    </cfRule>
  </conditionalFormatting>
  <conditionalFormatting sqref="D137">
    <cfRule type="cellIs" dxfId="8" priority="3" operator="lessThan">
      <formula>0</formula>
    </cfRule>
  </conditionalFormatting>
  <conditionalFormatting sqref="D103:G112">
    <cfRule type="cellIs" dxfId="7" priority="5" operator="lessThan">
      <formula>0</formula>
    </cfRule>
  </conditionalFormatting>
  <conditionalFormatting sqref="D117:G126">
    <cfRule type="cellIs" dxfId="6" priority="4" operator="lessThan">
      <formula>0</formula>
    </cfRule>
  </conditionalFormatting>
  <conditionalFormatting sqref="D74:M80">
    <cfRule type="cellIs" dxfId="5" priority="13" operator="lessThan">
      <formula>0</formula>
    </cfRule>
  </conditionalFormatting>
  <conditionalFormatting sqref="D130:P132">
    <cfRule type="cellIs" dxfId="4" priority="1" operator="lessThan">
      <formula>0</formula>
    </cfRule>
  </conditionalFormatting>
  <conditionalFormatting sqref="F81:M82">
    <cfRule type="cellIs" dxfId="3" priority="10" operator="lessThan">
      <formula>0</formula>
    </cfRule>
  </conditionalFormatting>
  <conditionalFormatting sqref="H137">
    <cfRule type="cellIs" dxfId="2" priority="2" operator="lessThan">
      <formula>0</formula>
    </cfRule>
  </conditionalFormatting>
  <conditionalFormatting sqref="S14:AA14">
    <cfRule type="cellIs" dxfId="1" priority="22" operator="lessThan">
      <formula>0</formula>
    </cfRule>
  </conditionalFormatting>
  <conditionalFormatting sqref="S22:AA22">
    <cfRule type="cellIs" dxfId="0" priority="23" operator="lessThan">
      <formula>0</formula>
    </cfRule>
  </conditionalFormatting>
  <pageMargins left="0.7" right="0.7" top="0.78740157499999996" bottom="0.78740157499999996" header="0.3" footer="0.3"/>
  <pageSetup paperSize="9" orientation="portrait" horizontalDpi="1200" verticalDpi="1200" r:id="rId1"/>
  <ignoredErrors>
    <ignoredError sqref="F18:N18" formula="1"/>
  </ignoredErrors>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9A7931-5E24-445C-9EAD-6ECA22A3C26C}">
  <dimension ref="A1:P60"/>
  <sheetViews>
    <sheetView showGridLines="0" topLeftCell="A20" workbookViewId="0">
      <selection activeCell="B53" sqref="B53:C59"/>
    </sheetView>
  </sheetViews>
  <sheetFormatPr baseColWidth="10" defaultColWidth="9.140625" defaultRowHeight="15" x14ac:dyDescent="0.25"/>
  <cols>
    <col min="1" max="1" width="5.7109375" customWidth="1"/>
    <col min="2" max="2" width="58" customWidth="1"/>
    <col min="4" max="4" width="9.7109375" customWidth="1"/>
    <col min="5" max="5" width="15.7109375" customWidth="1"/>
    <col min="12" max="12" width="8.85546875" customWidth="1"/>
  </cols>
  <sheetData>
    <row r="1" spans="1:16" ht="18.75" x14ac:dyDescent="0.3">
      <c r="A1" s="59"/>
      <c r="B1" s="182" t="s">
        <v>285</v>
      </c>
      <c r="C1" s="211"/>
      <c r="D1" s="212"/>
      <c r="E1" s="213"/>
      <c r="F1" s="100"/>
      <c r="G1" s="100"/>
      <c r="H1" s="100"/>
      <c r="I1" s="100"/>
      <c r="J1" s="100"/>
      <c r="K1" s="100"/>
      <c r="L1" s="101"/>
    </row>
    <row r="2" spans="1:16" x14ac:dyDescent="0.25">
      <c r="B2" s="214" t="s">
        <v>286</v>
      </c>
      <c r="C2" s="214"/>
      <c r="D2" s="294"/>
      <c r="E2" s="294"/>
      <c r="F2" s="294"/>
      <c r="K2" s="294"/>
      <c r="L2" s="343"/>
      <c r="M2" s="294"/>
      <c r="N2" s="294"/>
      <c r="O2" s="294"/>
      <c r="P2" s="343"/>
    </row>
    <row r="3" spans="1:16" x14ac:dyDescent="0.25">
      <c r="B3" s="214"/>
      <c r="C3" s="214"/>
      <c r="D3" s="294"/>
      <c r="E3" s="294"/>
      <c r="F3" s="294"/>
      <c r="K3" s="294"/>
      <c r="L3" s="343"/>
      <c r="M3" s="294"/>
      <c r="N3" s="294"/>
      <c r="O3" s="294"/>
      <c r="P3" s="294"/>
    </row>
    <row r="4" spans="1:16" ht="14.45" customHeight="1" x14ac:dyDescent="0.3">
      <c r="B4" s="183" t="s">
        <v>287</v>
      </c>
      <c r="C4" s="183" t="s">
        <v>79</v>
      </c>
      <c r="D4" s="183" t="s">
        <v>288</v>
      </c>
      <c r="E4" s="184" t="s">
        <v>289</v>
      </c>
      <c r="G4" s="13"/>
      <c r="H4" s="13"/>
      <c r="I4" s="13"/>
      <c r="J4" s="13"/>
      <c r="K4" s="13"/>
      <c r="L4" s="75"/>
    </row>
    <row r="5" spans="1:16" ht="16.149999999999999" customHeight="1" x14ac:dyDescent="0.3">
      <c r="B5" s="187" t="s">
        <v>290</v>
      </c>
      <c r="C5" s="190">
        <v>0.1</v>
      </c>
      <c r="D5" s="188">
        <v>0.1</v>
      </c>
      <c r="E5" s="189" t="s">
        <v>291</v>
      </c>
      <c r="G5" s="13"/>
      <c r="H5" s="13"/>
      <c r="I5" s="13"/>
      <c r="J5" s="13"/>
      <c r="K5" s="13"/>
      <c r="L5" s="75"/>
    </row>
    <row r="6" spans="1:16" ht="15.6" customHeight="1" x14ac:dyDescent="0.3">
      <c r="B6" s="187" t="s">
        <v>292</v>
      </c>
      <c r="C6" s="190">
        <v>0</v>
      </c>
      <c r="D6" s="188">
        <v>0</v>
      </c>
      <c r="E6" s="189" t="s">
        <v>293</v>
      </c>
      <c r="G6" s="13"/>
      <c r="H6" s="13"/>
      <c r="I6" s="13"/>
      <c r="J6" s="13"/>
      <c r="K6" s="13"/>
      <c r="L6" s="75"/>
    </row>
    <row r="7" spans="1:16" ht="18" customHeight="1" x14ac:dyDescent="0.3">
      <c r="B7" s="187" t="s">
        <v>294</v>
      </c>
      <c r="C7" s="190">
        <v>-7.2999999999999995E-2</v>
      </c>
      <c r="D7" s="188">
        <v>-7.0000000000000007E-2</v>
      </c>
      <c r="E7" s="189" t="s">
        <v>295</v>
      </c>
      <c r="G7" s="13"/>
      <c r="H7" s="13"/>
      <c r="I7" s="13"/>
      <c r="J7" s="13"/>
      <c r="K7" s="13"/>
      <c r="L7" s="75"/>
    </row>
    <row r="8" spans="1:16" ht="15.6" customHeight="1" x14ac:dyDescent="0.3">
      <c r="B8" s="344" t="s">
        <v>296</v>
      </c>
      <c r="C8" s="185">
        <v>0.15</v>
      </c>
      <c r="D8" s="345">
        <v>0.15</v>
      </c>
      <c r="E8" s="186" t="s">
        <v>297</v>
      </c>
      <c r="F8" s="13"/>
      <c r="G8" s="13"/>
      <c r="H8" s="13"/>
      <c r="I8" s="13"/>
      <c r="J8" s="13"/>
      <c r="K8" s="13"/>
      <c r="L8" s="75"/>
    </row>
    <row r="9" spans="1:16" ht="15" customHeight="1" x14ac:dyDescent="0.3">
      <c r="B9" s="344" t="s">
        <v>110</v>
      </c>
      <c r="C9" s="185">
        <v>0.2</v>
      </c>
      <c r="D9" s="345">
        <v>0.2</v>
      </c>
      <c r="E9" s="186" t="s">
        <v>298</v>
      </c>
      <c r="F9" s="13"/>
      <c r="G9" s="13"/>
      <c r="H9" s="13"/>
      <c r="I9" s="13"/>
      <c r="J9" s="13"/>
      <c r="K9" s="13"/>
      <c r="L9" s="75"/>
    </row>
    <row r="10" spans="1:16" ht="16.149999999999999" customHeight="1" x14ac:dyDescent="0.3">
      <c r="B10" s="344" t="s">
        <v>299</v>
      </c>
      <c r="C10" s="185">
        <v>0.05</v>
      </c>
      <c r="D10" s="345">
        <v>0.05</v>
      </c>
      <c r="E10" s="186" t="s">
        <v>298</v>
      </c>
      <c r="F10" s="13"/>
      <c r="G10" s="13"/>
      <c r="H10" s="13"/>
      <c r="I10" s="13"/>
      <c r="J10" s="13"/>
      <c r="K10" s="13"/>
      <c r="L10" s="75"/>
    </row>
    <row r="11" spans="1:16" ht="15" customHeight="1" x14ac:dyDescent="0.3">
      <c r="B11" s="344" t="s">
        <v>300</v>
      </c>
      <c r="C11" s="185">
        <v>0.05</v>
      </c>
      <c r="D11" s="345">
        <v>0.05</v>
      </c>
      <c r="E11" s="186" t="s">
        <v>298</v>
      </c>
      <c r="F11" s="13"/>
      <c r="G11" s="13"/>
      <c r="H11" s="13"/>
      <c r="I11" s="13"/>
      <c r="J11" s="13"/>
      <c r="K11" s="13"/>
      <c r="L11" s="75"/>
    </row>
    <row r="12" spans="1:16" ht="16.149999999999999" customHeight="1" x14ac:dyDescent="0.3">
      <c r="B12" s="344" t="s">
        <v>301</v>
      </c>
      <c r="C12" s="185">
        <v>0.35</v>
      </c>
      <c r="D12" s="345">
        <v>0.35</v>
      </c>
      <c r="E12" s="186" t="s">
        <v>298</v>
      </c>
      <c r="F12" s="13"/>
      <c r="G12" s="13"/>
      <c r="H12" s="13"/>
      <c r="I12" s="13"/>
      <c r="J12" s="13"/>
      <c r="K12" s="13"/>
      <c r="L12" s="75"/>
    </row>
    <row r="13" spans="1:16" ht="15.6" customHeight="1" x14ac:dyDescent="0.3">
      <c r="B13" s="344" t="s">
        <v>302</v>
      </c>
      <c r="C13" s="185">
        <v>0.35</v>
      </c>
      <c r="D13" s="345">
        <v>0.35</v>
      </c>
      <c r="E13" s="186" t="s">
        <v>298</v>
      </c>
      <c r="F13" s="13"/>
      <c r="G13" s="13"/>
      <c r="H13" s="13"/>
      <c r="I13" s="13"/>
      <c r="J13" s="13"/>
      <c r="K13" s="13"/>
      <c r="L13" s="75"/>
    </row>
    <row r="14" spans="1:16" ht="16.149999999999999" customHeight="1" x14ac:dyDescent="0.3">
      <c r="B14" s="346"/>
      <c r="C14" s="346"/>
      <c r="D14" s="347"/>
      <c r="E14" s="208"/>
      <c r="F14" s="13"/>
      <c r="G14" s="13"/>
      <c r="H14" s="13"/>
      <c r="I14" s="13"/>
      <c r="J14" s="13"/>
      <c r="K14" s="13"/>
      <c r="L14" s="75"/>
    </row>
    <row r="15" spans="1:16" ht="18.75" x14ac:dyDescent="0.3">
      <c r="B15" s="189" t="s">
        <v>23</v>
      </c>
      <c r="C15" s="191">
        <f>SROI!C161</f>
        <v>8.1689238141235521</v>
      </c>
      <c r="D15" s="215"/>
      <c r="E15" s="172"/>
      <c r="F15" s="13"/>
      <c r="G15" s="13"/>
      <c r="H15" s="13"/>
      <c r="I15" s="13"/>
      <c r="J15" s="13"/>
      <c r="K15" s="13"/>
      <c r="L15" s="75"/>
    </row>
    <row r="16" spans="1:16" x14ac:dyDescent="0.25">
      <c r="B16" s="59"/>
      <c r="C16" s="59"/>
      <c r="L16" s="10"/>
    </row>
    <row r="17" spans="2:12" x14ac:dyDescent="0.25">
      <c r="L17" s="10"/>
    </row>
    <row r="18" spans="2:12" x14ac:dyDescent="0.25">
      <c r="B18" t="s">
        <v>290</v>
      </c>
      <c r="C18" t="s">
        <v>23</v>
      </c>
      <c r="E18" t="s">
        <v>303</v>
      </c>
      <c r="F18" t="s">
        <v>23</v>
      </c>
      <c r="L18" s="10"/>
    </row>
    <row r="19" spans="2:12" x14ac:dyDescent="0.25">
      <c r="B19" s="216">
        <v>0.15</v>
      </c>
      <c r="C19">
        <v>6.5</v>
      </c>
      <c r="E19" s="216">
        <v>0.15</v>
      </c>
      <c r="F19">
        <v>8.1999999999999993</v>
      </c>
      <c r="L19" s="10"/>
    </row>
    <row r="20" spans="2:12" x14ac:dyDescent="0.25">
      <c r="B20" s="216">
        <f>C5</f>
        <v>0.1</v>
      </c>
      <c r="C20">
        <v>8.1999999999999993</v>
      </c>
      <c r="E20" s="216">
        <v>0.1</v>
      </c>
      <c r="F20">
        <v>7.7</v>
      </c>
      <c r="L20" s="10"/>
    </row>
    <row r="21" spans="2:12" x14ac:dyDescent="0.25">
      <c r="B21" s="216">
        <v>0.05</v>
      </c>
      <c r="C21">
        <v>10.9</v>
      </c>
      <c r="E21" s="216">
        <v>0</v>
      </c>
      <c r="F21">
        <v>6.9</v>
      </c>
      <c r="L21" s="10"/>
    </row>
    <row r="22" spans="2:12" x14ac:dyDescent="0.25">
      <c r="B22" s="216">
        <v>0</v>
      </c>
      <c r="C22">
        <v>15.5</v>
      </c>
      <c r="L22" s="10"/>
    </row>
    <row r="23" spans="2:12" x14ac:dyDescent="0.25">
      <c r="L23" s="10"/>
    </row>
    <row r="24" spans="2:12" x14ac:dyDescent="0.25">
      <c r="L24" s="10"/>
    </row>
    <row r="25" spans="2:12" x14ac:dyDescent="0.25">
      <c r="L25" s="10"/>
    </row>
    <row r="26" spans="2:12" x14ac:dyDescent="0.25">
      <c r="L26" s="10"/>
    </row>
    <row r="27" spans="2:12" x14ac:dyDescent="0.25">
      <c r="L27" s="10"/>
    </row>
    <row r="28" spans="2:12" x14ac:dyDescent="0.25">
      <c r="L28" s="10"/>
    </row>
    <row r="29" spans="2:12" x14ac:dyDescent="0.25">
      <c r="L29" s="10"/>
    </row>
    <row r="30" spans="2:12" x14ac:dyDescent="0.25">
      <c r="B30" s="294" t="s">
        <v>304</v>
      </c>
      <c r="L30" s="10"/>
    </row>
    <row r="31" spans="2:12" x14ac:dyDescent="0.25">
      <c r="B31" s="294" t="s">
        <v>305</v>
      </c>
      <c r="L31" s="10"/>
    </row>
    <row r="32" spans="2:12" x14ac:dyDescent="0.25">
      <c r="L32" s="10"/>
    </row>
    <row r="33" spans="2:12" x14ac:dyDescent="0.25">
      <c r="D33" s="2" t="s">
        <v>306</v>
      </c>
      <c r="E33" s="294"/>
      <c r="F33" s="294" t="s">
        <v>307</v>
      </c>
      <c r="G33" s="294"/>
      <c r="H33" s="294"/>
      <c r="I33" s="294"/>
      <c r="J33" s="294"/>
      <c r="K33" s="294"/>
      <c r="L33" s="343"/>
    </row>
    <row r="34" spans="2:12" ht="14.45" customHeight="1" x14ac:dyDescent="0.25">
      <c r="B34" s="402" t="s">
        <v>308</v>
      </c>
      <c r="C34" s="402"/>
      <c r="D34" s="401" t="s">
        <v>309</v>
      </c>
      <c r="E34" s="217">
        <f>C15</f>
        <v>8.1689238141235521</v>
      </c>
      <c r="F34" s="348">
        <v>0.03</v>
      </c>
      <c r="G34" s="349">
        <v>0.05</v>
      </c>
      <c r="H34" s="348">
        <v>0.1</v>
      </c>
      <c r="I34" s="348">
        <v>0.3</v>
      </c>
      <c r="J34" s="348">
        <v>0.5</v>
      </c>
      <c r="K34" s="348">
        <v>0.75</v>
      </c>
      <c r="L34" s="350">
        <v>0.9</v>
      </c>
    </row>
    <row r="35" spans="2:12" x14ac:dyDescent="0.25">
      <c r="B35" s="402"/>
      <c r="C35" s="402"/>
      <c r="D35" s="401"/>
      <c r="E35" s="351">
        <v>0.05</v>
      </c>
      <c r="F35" s="342">
        <f t="dataTable" ref="F35:L41" dt2D="1" dtr="1" r1="C10" r2="C9" ca="1"/>
        <v>4.2089612884716994</v>
      </c>
      <c r="G35" s="342">
        <v>4.2159565208842587</v>
      </c>
      <c r="H35" s="342">
        <v>4.2334446019156573</v>
      </c>
      <c r="I35" s="342">
        <v>4.303396926041251</v>
      </c>
      <c r="J35" s="342">
        <v>4.3733492501668447</v>
      </c>
      <c r="K35" s="342">
        <v>4.460789655323838</v>
      </c>
      <c r="L35" s="352">
        <v>4.5132538984180339</v>
      </c>
    </row>
    <row r="36" spans="2:12" x14ac:dyDescent="0.25">
      <c r="B36" s="402"/>
      <c r="C36" s="402"/>
      <c r="D36" s="401"/>
      <c r="E36" s="351">
        <v>0.1</v>
      </c>
      <c r="F36" s="342">
        <v>5.5263476135961671</v>
      </c>
      <c r="G36" s="342">
        <v>5.5336122852973562</v>
      </c>
      <c r="H36" s="342">
        <v>5.5517739645503319</v>
      </c>
      <c r="I36" s="342">
        <v>5.6244206815622286</v>
      </c>
      <c r="J36" s="342">
        <v>5.6970673985741289</v>
      </c>
      <c r="K36" s="342">
        <v>5.7878757948390041</v>
      </c>
      <c r="L36" s="352">
        <v>5.8423608325979277</v>
      </c>
    </row>
    <row r="37" spans="2:12" x14ac:dyDescent="0.25">
      <c r="B37" s="402"/>
      <c r="C37" s="402"/>
      <c r="D37" s="401"/>
      <c r="E37" s="351">
        <v>0.15</v>
      </c>
      <c r="F37" s="342">
        <v>6.843733938720634</v>
      </c>
      <c r="G37" s="342">
        <v>6.8512680497104519</v>
      </c>
      <c r="H37" s="342">
        <v>6.8701033271850038</v>
      </c>
      <c r="I37" s="342">
        <v>6.9454444370832089</v>
      </c>
      <c r="J37" s="342">
        <v>7.0207855469814122</v>
      </c>
      <c r="K37" s="342">
        <v>7.1149619343541675</v>
      </c>
      <c r="L37" s="352">
        <v>7.1714677667778215</v>
      </c>
    </row>
    <row r="38" spans="2:12" x14ac:dyDescent="0.25">
      <c r="B38" s="402"/>
      <c r="C38" s="402"/>
      <c r="D38" s="401"/>
      <c r="E38" s="353">
        <v>0.2</v>
      </c>
      <c r="F38" s="342">
        <v>8.1611202638451026</v>
      </c>
      <c r="G38" s="354">
        <v>8.1689238141235521</v>
      </c>
      <c r="H38" s="342">
        <v>8.1884326898196793</v>
      </c>
      <c r="I38" s="342">
        <v>8.2664681926041883</v>
      </c>
      <c r="J38" s="342">
        <v>8.3445036953886973</v>
      </c>
      <c r="K38" s="342">
        <v>8.4420480738693335</v>
      </c>
      <c r="L38" s="352">
        <v>8.5005747009577153</v>
      </c>
    </row>
    <row r="39" spans="2:12" x14ac:dyDescent="0.25">
      <c r="B39" s="402"/>
      <c r="C39" s="402"/>
      <c r="D39" s="401"/>
      <c r="E39" s="351">
        <v>0.25</v>
      </c>
      <c r="F39" s="342">
        <v>9.4785065889695677</v>
      </c>
      <c r="G39" s="342">
        <v>9.4865795785366487</v>
      </c>
      <c r="H39" s="342">
        <v>9.5067620524543521</v>
      </c>
      <c r="I39" s="342">
        <v>9.5874919481251695</v>
      </c>
      <c r="J39" s="342">
        <v>9.6682218437959797</v>
      </c>
      <c r="K39" s="342">
        <v>9.7691342133844987</v>
      </c>
      <c r="L39" s="352">
        <v>9.8296816351376091</v>
      </c>
    </row>
    <row r="40" spans="2:12" x14ac:dyDescent="0.25">
      <c r="B40" s="402"/>
      <c r="C40" s="402"/>
      <c r="D40" s="401"/>
      <c r="E40" s="351">
        <v>0.3</v>
      </c>
      <c r="F40" s="342">
        <v>10.795892914094035</v>
      </c>
      <c r="G40" s="342">
        <v>10.804235342949745</v>
      </c>
      <c r="H40" s="342">
        <v>10.825091415089025</v>
      </c>
      <c r="I40" s="342">
        <v>10.908515703646145</v>
      </c>
      <c r="J40" s="342">
        <v>10.991939992203264</v>
      </c>
      <c r="K40" s="342">
        <v>11.096220352899662</v>
      </c>
      <c r="L40" s="352">
        <v>11.158788569317501</v>
      </c>
    </row>
    <row r="41" spans="2:12" ht="16.899999999999999" customHeight="1" x14ac:dyDescent="0.25">
      <c r="B41" s="402"/>
      <c r="C41" s="402"/>
      <c r="D41" s="401"/>
      <c r="E41" s="351">
        <v>0.4</v>
      </c>
      <c r="F41" s="342">
        <v>13.430665564342972</v>
      </c>
      <c r="G41" s="342">
        <v>13.439546871775944</v>
      </c>
      <c r="H41" s="342">
        <v>13.461750140358374</v>
      </c>
      <c r="I41" s="342">
        <v>13.550563214688108</v>
      </c>
      <c r="J41" s="342">
        <v>13.639376289017836</v>
      </c>
      <c r="K41" s="342">
        <v>13.750392631929994</v>
      </c>
      <c r="L41" s="352">
        <v>13.817002437677292</v>
      </c>
    </row>
    <row r="42" spans="2:12" x14ac:dyDescent="0.25">
      <c r="B42" s="402"/>
      <c r="C42" s="402"/>
      <c r="D42" s="294"/>
      <c r="E42" s="341"/>
      <c r="F42" s="342"/>
      <c r="G42" s="342"/>
      <c r="H42" s="342"/>
      <c r="I42" s="342"/>
      <c r="J42" s="342"/>
      <c r="K42" s="342"/>
      <c r="L42" s="352"/>
    </row>
    <row r="43" spans="2:12" x14ac:dyDescent="0.25">
      <c r="B43" s="355"/>
      <c r="D43" s="294"/>
      <c r="E43" s="294"/>
      <c r="F43" s="294"/>
      <c r="G43" s="294"/>
      <c r="H43" s="294"/>
      <c r="I43" s="294"/>
      <c r="J43" s="294"/>
      <c r="K43" s="294"/>
      <c r="L43" s="343"/>
    </row>
    <row r="44" spans="2:12" x14ac:dyDescent="0.25">
      <c r="B44" s="355"/>
      <c r="D44" s="294"/>
      <c r="E44" s="294"/>
      <c r="F44" s="294" t="s">
        <v>307</v>
      </c>
      <c r="G44" s="294"/>
      <c r="H44" s="294"/>
      <c r="I44" s="294"/>
      <c r="J44" s="294"/>
      <c r="K44" s="294"/>
      <c r="L44" s="343"/>
    </row>
    <row r="45" spans="2:12" ht="14.45" customHeight="1" x14ac:dyDescent="0.25">
      <c r="B45" s="400" t="s">
        <v>310</v>
      </c>
      <c r="C45" s="400"/>
      <c r="D45" s="401" t="s">
        <v>311</v>
      </c>
      <c r="E45" s="217">
        <f>C15</f>
        <v>8.1689238141235521</v>
      </c>
      <c r="F45" s="348">
        <v>0.03</v>
      </c>
      <c r="G45" s="349">
        <v>0.05</v>
      </c>
      <c r="H45" s="348">
        <v>0.1</v>
      </c>
      <c r="I45" s="348">
        <v>0.3</v>
      </c>
      <c r="J45" s="348">
        <v>0.5</v>
      </c>
      <c r="K45" s="348">
        <v>0.75</v>
      </c>
      <c r="L45" s="350">
        <v>1</v>
      </c>
    </row>
    <row r="46" spans="2:12" x14ac:dyDescent="0.25">
      <c r="B46" s="400"/>
      <c r="C46" s="400"/>
      <c r="D46" s="401"/>
      <c r="E46" s="353">
        <v>0.05</v>
      </c>
      <c r="F46" s="342">
        <f t="dataTable" ref="F46:L50" dt2D="1" dtr="1" r1="C10" r2="C11"/>
        <v>8.1611202638451026</v>
      </c>
      <c r="G46" s="354">
        <v>8.1689238141235521</v>
      </c>
      <c r="H46" s="342">
        <v>8.1884326898196793</v>
      </c>
      <c r="I46" s="342">
        <v>8.2664681926041883</v>
      </c>
      <c r="J46" s="342">
        <v>8.3445036953886973</v>
      </c>
      <c r="K46" s="342">
        <v>8.4420480738693335</v>
      </c>
      <c r="L46" s="352">
        <v>8.5395924523499716</v>
      </c>
    </row>
    <row r="47" spans="2:12" x14ac:dyDescent="0.25">
      <c r="B47" s="400"/>
      <c r="C47" s="400"/>
      <c r="D47" s="401"/>
      <c r="E47" s="351">
        <v>0.1</v>
      </c>
      <c r="F47" s="342">
        <v>8.1728255892627768</v>
      </c>
      <c r="G47" s="342">
        <v>8.1884326898196793</v>
      </c>
      <c r="H47" s="342">
        <v>8.2274504412119338</v>
      </c>
      <c r="I47" s="342">
        <v>8.3835214467809536</v>
      </c>
      <c r="J47" s="342">
        <v>8.5395924523499716</v>
      </c>
      <c r="K47" s="342">
        <v>8.734681209311244</v>
      </c>
      <c r="L47" s="352">
        <v>8.9297699662725165</v>
      </c>
    </row>
    <row r="48" spans="2:12" x14ac:dyDescent="0.25">
      <c r="B48" s="400"/>
      <c r="C48" s="400"/>
      <c r="D48" s="401"/>
      <c r="E48" s="351">
        <v>0.25</v>
      </c>
      <c r="F48" s="342">
        <v>8.2079415655158066</v>
      </c>
      <c r="G48" s="342">
        <v>8.2469593169080611</v>
      </c>
      <c r="H48" s="342">
        <v>8.3445036953886973</v>
      </c>
      <c r="I48" s="342">
        <v>8.734681209311244</v>
      </c>
      <c r="J48" s="342">
        <v>9.1248587232337872</v>
      </c>
      <c r="K48" s="342">
        <v>9.6125806156369702</v>
      </c>
      <c r="L48" s="352">
        <v>10.100302508040151</v>
      </c>
    </row>
    <row r="49" spans="1:12" x14ac:dyDescent="0.25">
      <c r="B49" s="400"/>
      <c r="C49" s="400"/>
      <c r="D49" s="401"/>
      <c r="E49" s="351">
        <v>0.5</v>
      </c>
      <c r="F49" s="342">
        <v>8.2664681926041883</v>
      </c>
      <c r="G49" s="342">
        <v>8.3445036953886973</v>
      </c>
      <c r="H49" s="342">
        <v>8.5395924523499716</v>
      </c>
      <c r="I49" s="342">
        <v>9.3199474801950632</v>
      </c>
      <c r="J49" s="342">
        <v>10.100302508040151</v>
      </c>
      <c r="K49" s="342">
        <v>11.075746292846516</v>
      </c>
      <c r="L49" s="352">
        <v>12.051190077652876</v>
      </c>
    </row>
    <row r="50" spans="1:12" x14ac:dyDescent="0.25">
      <c r="B50" s="400"/>
      <c r="C50" s="400"/>
      <c r="D50" s="401"/>
      <c r="E50" s="351">
        <v>0.75</v>
      </c>
      <c r="F50" s="342">
        <v>8.3249948196925718</v>
      </c>
      <c r="G50" s="342">
        <v>8.4420480738693335</v>
      </c>
      <c r="H50" s="342">
        <v>8.734681209311244</v>
      </c>
      <c r="I50" s="342">
        <v>9.9052137510788789</v>
      </c>
      <c r="J50" s="342">
        <v>11.075746292846516</v>
      </c>
      <c r="K50" s="342">
        <v>12.538911970056059</v>
      </c>
      <c r="L50" s="352">
        <v>14.002077647265606</v>
      </c>
    </row>
    <row r="51" spans="1:12" x14ac:dyDescent="0.25">
      <c r="B51" s="400"/>
      <c r="C51" s="400"/>
      <c r="D51" s="401"/>
      <c r="E51" s="341"/>
      <c r="F51" s="342"/>
      <c r="G51" s="342"/>
      <c r="H51" s="342"/>
      <c r="I51" s="342"/>
      <c r="J51" s="342"/>
      <c r="K51" s="342"/>
      <c r="L51" s="352"/>
    </row>
    <row r="52" spans="1:12" x14ac:dyDescent="0.25">
      <c r="D52" s="294"/>
      <c r="E52" s="341"/>
      <c r="F52" s="342"/>
      <c r="G52" s="342"/>
      <c r="H52" s="342"/>
      <c r="I52" s="342"/>
      <c r="J52" s="342"/>
      <c r="K52" s="342"/>
      <c r="L52" s="352"/>
    </row>
    <row r="53" spans="1:12" x14ac:dyDescent="0.25">
      <c r="B53" s="400" t="s">
        <v>312</v>
      </c>
      <c r="C53" s="400"/>
      <c r="D53" s="2" t="s">
        <v>313</v>
      </c>
      <c r="E53" s="294"/>
      <c r="F53" s="294" t="s">
        <v>301</v>
      </c>
      <c r="G53" s="294"/>
      <c r="H53" s="294"/>
      <c r="I53" s="294"/>
      <c r="J53" s="294"/>
      <c r="L53" s="10"/>
    </row>
    <row r="54" spans="1:12" ht="13.15" customHeight="1" x14ac:dyDescent="0.25">
      <c r="B54" s="400"/>
      <c r="C54" s="400"/>
      <c r="D54" s="403" t="s">
        <v>302</v>
      </c>
      <c r="E54" s="217">
        <f>C15</f>
        <v>8.1689238141235521</v>
      </c>
      <c r="F54" s="349">
        <v>0.35</v>
      </c>
      <c r="G54" s="348">
        <v>0.5</v>
      </c>
      <c r="H54" s="348">
        <v>0.6</v>
      </c>
      <c r="I54" s="348">
        <v>0.7</v>
      </c>
      <c r="J54" s="348">
        <v>0.8</v>
      </c>
      <c r="L54" s="10"/>
    </row>
    <row r="55" spans="1:12" x14ac:dyDescent="0.25">
      <c r="B55" s="400"/>
      <c r="C55" s="400"/>
      <c r="D55" s="403"/>
      <c r="E55" s="353">
        <v>0.35</v>
      </c>
      <c r="F55" s="218">
        <f t="dataTable" ref="F55:J59" dt2D="1" dtr="1" r1="C12" r2="C13" ca="1"/>
        <v>8.1689238141235521</v>
      </c>
      <c r="G55" s="342">
        <v>8.1941884291971299</v>
      </c>
      <c r="H55" s="342">
        <v>8.2110315059128478</v>
      </c>
      <c r="I55" s="342">
        <v>8.2278745826285657</v>
      </c>
      <c r="J55" s="342">
        <v>8.2447176593442837</v>
      </c>
      <c r="L55" s="10"/>
    </row>
    <row r="56" spans="1:12" x14ac:dyDescent="0.25">
      <c r="B56" s="400"/>
      <c r="C56" s="400"/>
      <c r="D56" s="403"/>
      <c r="E56" s="351">
        <v>0.5</v>
      </c>
      <c r="F56" s="342">
        <v>9.28719114741323</v>
      </c>
      <c r="G56" s="342">
        <v>9.3124557624868061</v>
      </c>
      <c r="H56" s="342">
        <v>9.329298839202524</v>
      </c>
      <c r="I56" s="342">
        <v>9.3461419159182419</v>
      </c>
      <c r="J56" s="342">
        <v>9.3629849926339581</v>
      </c>
      <c r="L56" s="10"/>
    </row>
    <row r="57" spans="1:12" x14ac:dyDescent="0.25">
      <c r="B57" s="400"/>
      <c r="C57" s="400"/>
      <c r="D57" s="403"/>
      <c r="E57" s="351">
        <v>0.6</v>
      </c>
      <c r="F57" s="342">
        <v>10.032702702939677</v>
      </c>
      <c r="G57" s="342">
        <v>10.057967318013254</v>
      </c>
      <c r="H57" s="342">
        <v>10.074810394728974</v>
      </c>
      <c r="I57" s="342">
        <v>10.091653471444694</v>
      </c>
      <c r="J57" s="342">
        <v>10.10849654816041</v>
      </c>
      <c r="K57" s="206"/>
      <c r="L57" s="351"/>
    </row>
    <row r="58" spans="1:12" x14ac:dyDescent="0.25">
      <c r="B58" s="400"/>
      <c r="C58" s="400"/>
      <c r="D58" s="403"/>
      <c r="E58" s="351">
        <v>0.7</v>
      </c>
      <c r="F58" s="342">
        <v>10.77821425846613</v>
      </c>
      <c r="G58" s="342">
        <v>10.803478873539706</v>
      </c>
      <c r="H58" s="342">
        <v>10.820321950255423</v>
      </c>
      <c r="I58" s="342">
        <v>10.837165026971142</v>
      </c>
      <c r="J58" s="342">
        <v>10.85400810368686</v>
      </c>
      <c r="K58" s="342"/>
      <c r="L58" s="352"/>
    </row>
    <row r="59" spans="1:12" x14ac:dyDescent="0.25">
      <c r="B59" s="400"/>
      <c r="C59" s="400"/>
      <c r="D59" s="403"/>
      <c r="E59" s="351">
        <v>0.8</v>
      </c>
      <c r="F59" s="342">
        <v>11.523725813992579</v>
      </c>
      <c r="G59" s="342">
        <v>11.548990429066157</v>
      </c>
      <c r="H59" s="342">
        <v>11.565833505781876</v>
      </c>
      <c r="I59" s="342">
        <v>11.582676582497596</v>
      </c>
      <c r="J59" s="342">
        <v>11.599519659213311</v>
      </c>
      <c r="K59" s="342"/>
      <c r="L59" s="352"/>
    </row>
    <row r="60" spans="1:12" x14ac:dyDescent="0.25">
      <c r="A60" s="60"/>
      <c r="B60" s="60"/>
      <c r="C60" s="60"/>
      <c r="D60" s="60"/>
      <c r="E60" s="60"/>
      <c r="F60" s="60"/>
      <c r="G60" s="60"/>
      <c r="H60" s="60"/>
      <c r="I60" s="60"/>
      <c r="J60" s="60"/>
      <c r="K60" s="60"/>
      <c r="L60" s="61"/>
    </row>
  </sheetData>
  <mergeCells count="6">
    <mergeCell ref="B53:C59"/>
    <mergeCell ref="D34:D41"/>
    <mergeCell ref="B34:C42"/>
    <mergeCell ref="D45:D51"/>
    <mergeCell ref="B45:C51"/>
    <mergeCell ref="D54:D59"/>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B26731-836A-4DCE-AB2D-FA47BD75730F}">
  <dimension ref="A2:A5"/>
  <sheetViews>
    <sheetView showGridLines="0" zoomScale="90" zoomScaleNormal="90" workbookViewId="0">
      <selection activeCell="F66" sqref="F66"/>
    </sheetView>
  </sheetViews>
  <sheetFormatPr baseColWidth="10" defaultColWidth="8.5703125" defaultRowHeight="15" x14ac:dyDescent="0.25"/>
  <cols>
    <col min="2" max="2" width="16.85546875" customWidth="1"/>
    <col min="3" max="3" width="25.85546875" customWidth="1"/>
  </cols>
  <sheetData>
    <row r="2" spans="1:1" x14ac:dyDescent="0.25">
      <c r="A2" s="62"/>
    </row>
    <row r="3" spans="1:1" x14ac:dyDescent="0.25">
      <c r="A3" s="62"/>
    </row>
    <row r="4" spans="1:1" x14ac:dyDescent="0.25">
      <c r="A4" s="62"/>
    </row>
    <row r="5" spans="1:1" x14ac:dyDescent="0.25">
      <c r="A5" s="62"/>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hematic_x0020_Focus xmlns="08b758c0-7f65-4904-9e43-345858c3c71c" xsi:nil="true"/>
    <_Flow_SignoffStatus xmlns="24dc8c7b-7b5d-4d41-8221-f7960f2ae5bd" xsi:nil="true"/>
    <TaxCatchAll xmlns="08b758c0-7f65-4904-9e43-345858c3c71c" xsi:nil="true"/>
    <lcf76f155ced4ddcb4097134ff3c332f xmlns="24dc8c7b-7b5d-4d41-8221-f7960f2ae5bd">
      <Terms xmlns="http://schemas.microsoft.com/office/infopath/2007/PartnerControls"/>
    </lcf76f155ced4ddcb4097134ff3c332f>
    <PII xmlns="24dc8c7b-7b5d-4d41-8221-f7960f2ae5bd">false</PII>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861670E027929440931DC4FF061F9A46" ma:contentTypeVersion="29" ma:contentTypeDescription="Ein neues Dokument erstellen." ma:contentTypeScope="" ma:versionID="0d88bc9cedf1ee999d8bb34fd8e7544b">
  <xsd:schema xmlns:xsd="http://www.w3.org/2001/XMLSchema" xmlns:xs="http://www.w3.org/2001/XMLSchema" xmlns:p="http://schemas.microsoft.com/office/2006/metadata/properties" xmlns:ns2="08b758c0-7f65-4904-9e43-345858c3c71c" xmlns:ns3="24dc8c7b-7b5d-4d41-8221-f7960f2ae5bd" targetNamespace="http://schemas.microsoft.com/office/2006/metadata/properties" ma:root="true" ma:fieldsID="980143298319afb703e608dd5fb72d34" ns2:_="" ns3:_="">
    <xsd:import namespace="08b758c0-7f65-4904-9e43-345858c3c71c"/>
    <xsd:import namespace="24dc8c7b-7b5d-4d41-8221-f7960f2ae5bd"/>
    <xsd:element name="properties">
      <xsd:complexType>
        <xsd:sequence>
          <xsd:element name="documentManagement">
            <xsd:complexType>
              <xsd:all>
                <xsd:element ref="ns2:Thematic_x0020_Focu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2:SharedWithUsers" minOccurs="0"/>
                <xsd:element ref="ns2:SharedWithDetails" minOccurs="0"/>
                <xsd:element ref="ns3:MediaServiceDateTaken" minOccurs="0"/>
                <xsd:element ref="ns3:MediaServiceLocation" minOccurs="0"/>
                <xsd:element ref="ns3:_Flow_SignoffStatus" minOccurs="0"/>
                <xsd:element ref="ns3:MediaLengthInSeconds" minOccurs="0"/>
                <xsd:element ref="ns2:TaxCatchAll" minOccurs="0"/>
                <xsd:element ref="ns3:lcf76f155ced4ddcb4097134ff3c332f" minOccurs="0"/>
                <xsd:element ref="ns3:PII"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8b758c0-7f65-4904-9e43-345858c3c71c" elementFormDefault="qualified">
    <xsd:import namespace="http://schemas.microsoft.com/office/2006/documentManagement/types"/>
    <xsd:import namespace="http://schemas.microsoft.com/office/infopath/2007/PartnerControls"/>
    <xsd:element name="Thematic_x0020_Focus" ma:index="2" nillable="true" ma:displayName="Thematic Focus" ma:list="{b8d47e44-77bd-498c-a02c-fb6e3f62fb35}" ma:internalName="Thematic_x0020_Focus" ma:showField="Title" ma:web="08b758c0-7f65-4904-9e43-345858c3c71c">
      <xsd:complexType>
        <xsd:complexContent>
          <xsd:extension base="dms:MultiChoiceLookup">
            <xsd:sequence>
              <xsd:element name="Value" type="dms:Lookup" maxOccurs="unbounded" minOccurs="0" nillable="true"/>
            </xsd:sequence>
          </xsd:extension>
        </xsd:complexContent>
      </xsd:complexType>
    </xsd:element>
    <xsd:element name="SharedWithUsers" ma:index="14"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Freigegeben für - Details" ma:internalName="SharedWithDetails" ma:readOnly="true">
      <xsd:simpleType>
        <xsd:restriction base="dms:Note">
          <xsd:maxLength value="255"/>
        </xsd:restriction>
      </xsd:simpleType>
    </xsd:element>
    <xsd:element name="TaxCatchAll" ma:index="23" nillable="true" ma:displayName="Taxonomy Catch All Column" ma:hidden="true" ma:list="{0fdbe3cc-6b80-43ad-a978-0da023464680}" ma:internalName="TaxCatchAll" ma:showField="CatchAllData" ma:web="08b758c0-7f65-4904-9e43-345858c3c71c">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4dc8c7b-7b5d-4d41-8221-f7960f2ae5bd" elementFormDefault="qualified">
    <xsd:import namespace="http://schemas.microsoft.com/office/2006/documentManagement/types"/>
    <xsd:import namespace="http://schemas.microsoft.com/office/infopath/2007/PartnerControls"/>
    <xsd:element name="MediaServiceMetadata" ma:index="6" nillable="true" ma:displayName="MediaServiceMetadata" ma:hidden="true" ma:internalName="MediaServiceMetadata" ma:readOnly="true">
      <xsd:simpleType>
        <xsd:restriction base="dms:Note"/>
      </xsd:simpleType>
    </xsd:element>
    <xsd:element name="MediaServiceFastMetadata" ma:index="7" nillable="true" ma:displayName="MediaServiceFastMetadata" ma:hidden="true" ma:internalName="MediaServiceFastMetadata" ma:readOnly="true">
      <xsd:simpleType>
        <xsd:restriction base="dms:Note"/>
      </xsd:simpleType>
    </xsd:element>
    <xsd:element name="MediaServiceAutoTags" ma:index="8" nillable="true" ma:displayName="Tags" ma:description="" ma:indexed="true" ma:internalName="MediaServiceAutoTags" ma:readOnly="true">
      <xsd:simpleType>
        <xsd:restriction base="dms:Text"/>
      </xsd:simpleType>
    </xsd:element>
    <xsd:element name="MediaServiceOCR" ma:index="9" nillable="true" ma:displayName="Extracted Text" ma:internalName="MediaServiceOCR" ma:readOnly="true">
      <xsd:simpleType>
        <xsd:restriction base="dms:Note">
          <xsd:maxLength value="255"/>
        </xsd:restriction>
      </xsd:simpleType>
    </xsd:element>
    <xsd:element name="MediaServiceGenerationTime" ma:index="10" nillable="true" ma:displayName="MediaServiceGenerationTime" ma:hidden="true" ma:internalName="MediaServiceGenerationTime" ma:readOnly="true">
      <xsd:simpleType>
        <xsd:restriction base="dms:Text"/>
      </xsd:simpleType>
    </xsd:element>
    <xsd:element name="MediaServiceEventHashCode" ma:index="11" nillable="true" ma:displayName="MediaServiceEventHashCode" ma:hidden="true" ma:internalName="MediaServiceEventHashCode" ma:readOnly="true">
      <xsd:simpleType>
        <xsd:restriction base="dms:Text"/>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_Flow_SignoffStatus" ma:index="21" nillable="true" ma:displayName="Status Unterschrift" ma:internalName="Status_x0020_Unterschrift">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Bildmarkierungen" ma:readOnly="false" ma:fieldId="{5cf76f15-5ced-4ddc-b409-7134ff3c332f}" ma:taxonomyMulti="true" ma:sspId="9b1bd33c-51cd-473d-b064-0ba0784f6672" ma:termSetId="09814cd3-568e-fe90-9814-8d621ff8fb84" ma:anchorId="fba54fb3-c3e1-fe81-a776-ca4b69148c4d" ma:open="true" ma:isKeyword="false">
      <xsd:complexType>
        <xsd:sequence>
          <xsd:element ref="pc:Terms" minOccurs="0" maxOccurs="1"/>
        </xsd:sequence>
      </xsd:complexType>
    </xsd:element>
    <xsd:element name="PII" ma:index="26" nillable="true" ma:displayName="PII" ma:default="0" ma:format="Dropdown" ma:indexed="true" ma:internalName="PII">
      <xsd:simpleType>
        <xsd:restriction base="dms:Boolean"/>
      </xsd:simpleType>
    </xsd:element>
    <xsd:element name="MediaServiceObjectDetectorVersions" ma:index="27" nillable="true" ma:displayName="MediaServiceObjectDetectorVersions" ma:hidden="true" ma:indexed="true" ma:internalName="MediaServiceObjectDetectorVersions" ma:readOnly="true">
      <xsd:simpleType>
        <xsd:restriction base="dms:Text"/>
      </xsd:simpleType>
    </xsd:element>
    <xsd:element name="MediaServiceSearchProperties" ma:index="28" nillable="true" ma:displayName="MediaServiceSearchProperties" ma:hidden="true" ma:internalName="MediaServiceSearchProperties" ma:readOnly="true">
      <xsd:simpleType>
        <xsd:restriction base="dms:Note"/>
      </xsd:simple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8" ma:displayName="Inhaltstyp"/>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83CA661-FF88-4791-85B2-F80EA589301D}">
  <ds:schemaRefs>
    <ds:schemaRef ds:uri="http://schemas.microsoft.com/office/2006/metadata/properties"/>
    <ds:schemaRef ds:uri="http://schemas.microsoft.com/office/infopath/2007/PartnerControls"/>
    <ds:schemaRef ds:uri="08b758c0-7f65-4904-9e43-345858c3c71c"/>
    <ds:schemaRef ds:uri="24dc8c7b-7b5d-4d41-8221-f7960f2ae5bd"/>
  </ds:schemaRefs>
</ds:datastoreItem>
</file>

<file path=customXml/itemProps2.xml><?xml version="1.0" encoding="utf-8"?>
<ds:datastoreItem xmlns:ds="http://schemas.openxmlformats.org/officeDocument/2006/customXml" ds:itemID="{B17C3E72-E6CB-413E-81E7-23613E47D569}">
  <ds:schemaRefs>
    <ds:schemaRef ds:uri="http://schemas.microsoft.com/sharepoint/v3/contenttype/forms"/>
  </ds:schemaRefs>
</ds:datastoreItem>
</file>

<file path=customXml/itemProps3.xml><?xml version="1.0" encoding="utf-8"?>
<ds:datastoreItem xmlns:ds="http://schemas.openxmlformats.org/officeDocument/2006/customXml" ds:itemID="{A06ACADF-EB5A-41F5-81C7-20D79BD3B9E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8b758c0-7f65-4904-9e43-345858c3c71c"/>
    <ds:schemaRef ds:uri="24dc8c7b-7b5d-4d41-8221-f7960f2ae5b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6</vt:i4>
      </vt:variant>
    </vt:vector>
  </HeadingPairs>
  <TitlesOfParts>
    <vt:vector size="6" baseType="lpstr">
      <vt:lpstr>Summary</vt:lpstr>
      <vt:lpstr>ToC</vt:lpstr>
      <vt:lpstr>Input</vt:lpstr>
      <vt:lpstr>SROI</vt:lpstr>
      <vt:lpstr>Sensitivity analysis</vt:lpstr>
      <vt:lpstr>Info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Herz, Paul</dc:creator>
  <cp:keywords/>
  <dc:description/>
  <cp:lastModifiedBy>Frank, Theresa</cp:lastModifiedBy>
  <cp:revision/>
  <dcterms:created xsi:type="dcterms:W3CDTF">2021-10-12T15:11:17Z</dcterms:created>
  <dcterms:modified xsi:type="dcterms:W3CDTF">2026-07-13T15:04:42Z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0x010100861670E027929440931DC4FF061F9A46</vt:lpwstr>
  </property>
  <property fmtid="{D5CDD505-2E9C-101B-9397-08002B2CF9AE}" pid="3" name="MediaServiceImageTags">
    <vt:lpwstr/>
  </property>
</Properties>
</file>