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herewegrow.sharepoint.com/sites/herewegrow.org/Freigegebene Dokumente/01 Projekte/01 Laufend/D_DGR01/05 MEL/01_SROI/"/>
    </mc:Choice>
  </mc:AlternateContent>
  <xr:revisionPtr revIDLastSave="2877" documentId="8_{89D4EAA4-F24C-42CA-979B-6AA23AF3E30F}" xr6:coauthVersionLast="47" xr6:coauthVersionMax="47" xr10:uidLastSave="{6FD896E0-726D-4EDA-B46F-BA79238A34E5}"/>
  <bookViews>
    <workbookView xWindow="28680" yWindow="-120" windowWidth="29040" windowHeight="17520" activeTab="2" xr2:uid="{D727DE2A-A20A-4F61-A634-FF4E86980CF5}"/>
  </bookViews>
  <sheets>
    <sheet name="Summary" sheetId="6" r:id="rId1"/>
    <sheet name="ToC" sheetId="8" r:id="rId2"/>
    <sheet name="Model input" sheetId="5" r:id="rId3"/>
    <sheet name="SROI" sheetId="2" r:id="rId4"/>
    <sheet name="Info" sheetId="7"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6" l="1"/>
  <c r="C26" i="6"/>
  <c r="E74" i="2"/>
  <c r="F74" i="2"/>
  <c r="G74" i="2"/>
  <c r="C50" i="2" l="1"/>
  <c r="G134" i="2" l="1"/>
  <c r="F134" i="2"/>
  <c r="E134" i="2"/>
  <c r="D134" i="2"/>
  <c r="C134" i="2"/>
  <c r="C25" i="2" l="1"/>
  <c r="K29" i="5"/>
  <c r="K28" i="5" s="1"/>
  <c r="J29" i="5"/>
  <c r="J28" i="5" s="1"/>
  <c r="I29" i="5"/>
  <c r="I28" i="5" s="1"/>
  <c r="H29" i="5"/>
  <c r="H28" i="5" s="1"/>
  <c r="G29" i="5"/>
  <c r="G28" i="5" s="1"/>
  <c r="F29" i="5"/>
  <c r="F28" i="5" s="1"/>
  <c r="E29" i="5"/>
  <c r="D29" i="5"/>
  <c r="D28" i="5" s="1"/>
  <c r="C29" i="5"/>
  <c r="C28" i="5" s="1"/>
  <c r="G48" i="5"/>
  <c r="I48" i="5"/>
  <c r="H48" i="5"/>
  <c r="F48" i="5"/>
  <c r="E48" i="5"/>
  <c r="D48" i="5"/>
  <c r="I47" i="5"/>
  <c r="H47" i="5"/>
  <c r="G47" i="5"/>
  <c r="F47" i="5"/>
  <c r="E47" i="5"/>
  <c r="D47" i="5"/>
  <c r="C47" i="5"/>
  <c r="F24" i="5"/>
  <c r="D22" i="5"/>
  <c r="E28" i="5" l="1"/>
  <c r="F35" i="5"/>
  <c r="I41" i="5"/>
  <c r="J41" i="5"/>
  <c r="K41" i="5"/>
  <c r="L41" i="5"/>
  <c r="M41" i="5"/>
  <c r="N41" i="5"/>
  <c r="O41" i="5"/>
  <c r="P41" i="5"/>
  <c r="G42" i="5"/>
  <c r="C23" i="5" s="1"/>
  <c r="H42" i="5"/>
  <c r="D23" i="5" s="1"/>
  <c r="G43" i="5"/>
  <c r="H43" i="5"/>
  <c r="D5" i="2"/>
  <c r="E65" i="2" l="1"/>
  <c r="F65" i="2"/>
  <c r="G65" i="2"/>
  <c r="H65" i="2" s="1"/>
  <c r="I65" i="2" s="1"/>
  <c r="J65" i="2" s="1"/>
  <c r="K65" i="2" s="1"/>
  <c r="L65" i="2" s="1"/>
  <c r="M65" i="2" s="1"/>
  <c r="E101" i="2"/>
  <c r="F101" i="2"/>
  <c r="G101" i="2"/>
  <c r="C49" i="2"/>
  <c r="E112" i="2"/>
  <c r="E86" i="2" l="1"/>
  <c r="E87" i="2" s="1"/>
  <c r="E94" i="2" s="1"/>
  <c r="E90" i="2" l="1"/>
  <c r="R86" i="2" l="1"/>
  <c r="I75" i="2"/>
  <c r="J75" i="2" s="1"/>
  <c r="K75" i="2" s="1"/>
  <c r="L75" i="2" s="1"/>
  <c r="M75" i="2" s="1"/>
  <c r="N75" i="2" s="1"/>
  <c r="F86" i="2"/>
  <c r="G86" i="2"/>
  <c r="H90" i="2"/>
  <c r="I90" i="2"/>
  <c r="J90" i="2"/>
  <c r="K90" i="2"/>
  <c r="L90" i="2"/>
  <c r="M90" i="2"/>
  <c r="N90" i="2"/>
  <c r="R106" i="2"/>
  <c r="R105" i="2"/>
  <c r="S106" i="2" s="1"/>
  <c r="R104" i="2"/>
  <c r="S105" i="2" s="1"/>
  <c r="T106" i="2" s="1"/>
  <c r="R103" i="2"/>
  <c r="S104" i="2" s="1"/>
  <c r="T105" i="2" s="1"/>
  <c r="U106" i="2" s="1"/>
  <c r="R102" i="2"/>
  <c r="S103" i="2" s="1"/>
  <c r="T104" i="2" s="1"/>
  <c r="U105" i="2" s="1"/>
  <c r="V106" i="2" s="1"/>
  <c r="R101" i="2"/>
  <c r="S102" i="2" s="1"/>
  <c r="T103" i="2" s="1"/>
  <c r="U104" i="2" s="1"/>
  <c r="V105" i="2" s="1"/>
  <c r="W106" i="2" s="1"/>
  <c r="R100" i="2"/>
  <c r="S101" i="2" s="1"/>
  <c r="T102" i="2" s="1"/>
  <c r="U103" i="2" s="1"/>
  <c r="V104" i="2" s="1"/>
  <c r="W105" i="2" s="1"/>
  <c r="X106" i="2" s="1"/>
  <c r="R99" i="2"/>
  <c r="S100" i="2" s="1"/>
  <c r="T101" i="2" s="1"/>
  <c r="U102" i="2" s="1"/>
  <c r="V103" i="2" s="1"/>
  <c r="W104" i="2" s="1"/>
  <c r="X105" i="2" s="1"/>
  <c r="Y106" i="2" s="1"/>
  <c r="U86" i="2" l="1"/>
  <c r="V86" i="2"/>
  <c r="W86" i="2"/>
  <c r="X86" i="2"/>
  <c r="Y86" i="2"/>
  <c r="Z86" i="2"/>
  <c r="AA86" i="2"/>
  <c r="G90" i="2"/>
  <c r="F90" i="2"/>
  <c r="F87" i="2" l="1"/>
  <c r="G87" i="2"/>
  <c r="G94" i="2" l="1"/>
  <c r="M94" i="2"/>
  <c r="K94" i="2"/>
  <c r="F94" i="2"/>
  <c r="L94" i="2"/>
  <c r="H94" i="2"/>
  <c r="J94" i="2"/>
  <c r="I94" i="2"/>
  <c r="S87" i="2"/>
  <c r="R98" i="2"/>
  <c r="T86" i="2"/>
  <c r="U87" i="2" s="1"/>
  <c r="T98" i="2"/>
  <c r="S98" i="2"/>
  <c r="S86" i="2"/>
  <c r="N94" i="2"/>
  <c r="R94" i="2"/>
  <c r="R93" i="2"/>
  <c r="S94" i="2" s="1"/>
  <c r="R92" i="2"/>
  <c r="S93" i="2" s="1"/>
  <c r="T94" i="2" s="1"/>
  <c r="R91" i="2"/>
  <c r="S92" i="2" s="1"/>
  <c r="T93" i="2" s="1"/>
  <c r="U94" i="2" s="1"/>
  <c r="R90" i="2"/>
  <c r="S91" i="2" s="1"/>
  <c r="T92" i="2" s="1"/>
  <c r="U93" i="2" s="1"/>
  <c r="V94" i="2" s="1"/>
  <c r="R89" i="2"/>
  <c r="S90" i="2" s="1"/>
  <c r="T91" i="2" s="1"/>
  <c r="U92" i="2" s="1"/>
  <c r="V93" i="2" s="1"/>
  <c r="W94" i="2" s="1"/>
  <c r="R88" i="2"/>
  <c r="S89" i="2" s="1"/>
  <c r="T90" i="2" s="1"/>
  <c r="U91" i="2" s="1"/>
  <c r="V92" i="2" s="1"/>
  <c r="W93" i="2" s="1"/>
  <c r="X94" i="2" s="1"/>
  <c r="R87" i="2"/>
  <c r="T99" i="2" l="1"/>
  <c r="U100" i="2" s="1"/>
  <c r="V101" i="2" s="1"/>
  <c r="W102" i="2" s="1"/>
  <c r="X103" i="2" s="1"/>
  <c r="Y104" i="2" s="1"/>
  <c r="Z105" i="2" s="1"/>
  <c r="AA106" i="2" s="1"/>
  <c r="U99" i="2"/>
  <c r="V100" i="2" s="1"/>
  <c r="W101" i="2" s="1"/>
  <c r="X102" i="2" s="1"/>
  <c r="Y103" i="2" s="1"/>
  <c r="Z104" i="2" s="1"/>
  <c r="AA105" i="2" s="1"/>
  <c r="S99" i="2"/>
  <c r="T100" i="2" s="1"/>
  <c r="U101" i="2" s="1"/>
  <c r="V102" i="2" s="1"/>
  <c r="W103" i="2" s="1"/>
  <c r="X104" i="2" s="1"/>
  <c r="Y105" i="2" s="1"/>
  <c r="Z106" i="2" s="1"/>
  <c r="T88" i="2"/>
  <c r="U89" i="2" s="1"/>
  <c r="V90" i="2" s="1"/>
  <c r="W91" i="2" s="1"/>
  <c r="X92" i="2" s="1"/>
  <c r="Y93" i="2" s="1"/>
  <c r="Z94" i="2" s="1"/>
  <c r="T87" i="2"/>
  <c r="S88" i="2"/>
  <c r="T89" i="2" s="1"/>
  <c r="U90" i="2" s="1"/>
  <c r="V91" i="2" s="1"/>
  <c r="W92" i="2" s="1"/>
  <c r="X93" i="2" s="1"/>
  <c r="Y94" i="2" s="1"/>
  <c r="V88" i="2"/>
  <c r="W89" i="2" s="1"/>
  <c r="X90" i="2" s="1"/>
  <c r="Y91" i="2" s="1"/>
  <c r="Z92" i="2" s="1"/>
  <c r="AA93" i="2" s="1"/>
  <c r="F110" i="2"/>
  <c r="G110" i="2"/>
  <c r="H110" i="2"/>
  <c r="I110" i="2"/>
  <c r="J110" i="2"/>
  <c r="K110" i="2"/>
  <c r="L110" i="2"/>
  <c r="M110" i="2"/>
  <c r="N110" i="2"/>
  <c r="U88" i="2" l="1"/>
  <c r="C57" i="2"/>
  <c r="C39" i="2"/>
  <c r="C38" i="2"/>
  <c r="V89" i="2" l="1"/>
  <c r="C13" i="6" l="1"/>
  <c r="W90" i="2"/>
  <c r="S75" i="2"/>
  <c r="T76" i="2" s="1"/>
  <c r="R82" i="2"/>
  <c r="R81" i="2"/>
  <c r="S82" i="2" s="1"/>
  <c r="R80" i="2"/>
  <c r="S81" i="2" s="1"/>
  <c r="T82" i="2" s="1"/>
  <c r="R79" i="2"/>
  <c r="S80" i="2" s="1"/>
  <c r="T81" i="2" s="1"/>
  <c r="U82" i="2" s="1"/>
  <c r="R78" i="2"/>
  <c r="S79" i="2" s="1"/>
  <c r="T80" i="2" s="1"/>
  <c r="U81" i="2" s="1"/>
  <c r="V82" i="2" s="1"/>
  <c r="R77" i="2"/>
  <c r="S78" i="2" s="1"/>
  <c r="T79" i="2" s="1"/>
  <c r="U80" i="2" s="1"/>
  <c r="V81" i="2" s="1"/>
  <c r="W82" i="2" s="1"/>
  <c r="R76" i="2"/>
  <c r="S77" i="2" s="1"/>
  <c r="T78" i="2" s="1"/>
  <c r="U79" i="2" s="1"/>
  <c r="V80" i="2" s="1"/>
  <c r="W81" i="2" s="1"/>
  <c r="X82" i="2" s="1"/>
  <c r="R75" i="2"/>
  <c r="S76" i="2" s="1"/>
  <c r="T77" i="2" s="1"/>
  <c r="U78" i="2" s="1"/>
  <c r="V79" i="2" s="1"/>
  <c r="W80" i="2" s="1"/>
  <c r="X81" i="2" s="1"/>
  <c r="Y82" i="2" s="1"/>
  <c r="F112" i="2"/>
  <c r="C48" i="5"/>
  <c r="C42" i="5"/>
  <c r="V87" i="2" l="1"/>
  <c r="W88" i="2" s="1"/>
  <c r="X89" i="2" s="1"/>
  <c r="Y90" i="2" s="1"/>
  <c r="Z91" i="2" s="1"/>
  <c r="AA92" i="2" s="1"/>
  <c r="X91" i="2"/>
  <c r="U77" i="2"/>
  <c r="Y92" i="2" l="1"/>
  <c r="V78" i="2"/>
  <c r="F135" i="2"/>
  <c r="G135" i="2"/>
  <c r="C135" i="2"/>
  <c r="D42" i="5"/>
  <c r="E42" i="5"/>
  <c r="F42" i="5"/>
  <c r="C136" i="2" l="1"/>
  <c r="C137" i="2" s="1"/>
  <c r="G136" i="2"/>
  <c r="G137" i="2" s="1"/>
  <c r="F136" i="2"/>
  <c r="F137" i="2" s="1"/>
  <c r="I42" i="5"/>
  <c r="E23" i="5" s="1"/>
  <c r="J42" i="5"/>
  <c r="F23" i="5" s="1"/>
  <c r="K42" i="5"/>
  <c r="L42" i="5"/>
  <c r="N42" i="5"/>
  <c r="O42" i="5"/>
  <c r="M42" i="5"/>
  <c r="P42" i="5"/>
  <c r="M47" i="5"/>
  <c r="K95" i="2" s="1"/>
  <c r="E95" i="2"/>
  <c r="Z93" i="2"/>
  <c r="P47" i="5"/>
  <c r="N95" i="2" s="1"/>
  <c r="L47" i="5"/>
  <c r="J95" i="2" s="1"/>
  <c r="W79" i="2"/>
  <c r="J47" i="5"/>
  <c r="H95" i="2" s="1"/>
  <c r="K47" i="5"/>
  <c r="I95" i="2" s="1"/>
  <c r="F95" i="2"/>
  <c r="G95" i="2"/>
  <c r="O47" i="5"/>
  <c r="M95" i="2" s="1"/>
  <c r="N47" i="5"/>
  <c r="L95" i="2" s="1"/>
  <c r="W87" i="2" l="1"/>
  <c r="X88" i="2" s="1"/>
  <c r="Y89" i="2" s="1"/>
  <c r="Z90" i="2" s="1"/>
  <c r="AA91" i="2" s="1"/>
  <c r="AA94" i="2"/>
  <c r="X80" i="2"/>
  <c r="Y81" i="2" l="1"/>
  <c r="C14" i="6"/>
  <c r="Z82" i="2" l="1"/>
  <c r="M111" i="2"/>
  <c r="E109" i="2"/>
  <c r="E111" i="2" s="1"/>
  <c r="E113" i="2" s="1"/>
  <c r="X87" i="2" l="1"/>
  <c r="Y88" i="2" s="1"/>
  <c r="Z89" i="2" s="1"/>
  <c r="AA90" i="2" s="1"/>
  <c r="E114" i="2"/>
  <c r="E116" i="2"/>
  <c r="F111" i="2"/>
  <c r="N111" i="2"/>
  <c r="G111" i="2"/>
  <c r="J111" i="2"/>
  <c r="H111" i="2"/>
  <c r="I111" i="2"/>
  <c r="K111" i="2"/>
  <c r="L111" i="2"/>
  <c r="E117" i="2" l="1"/>
  <c r="E118" i="2" s="1"/>
  <c r="E119" i="2" s="1"/>
  <c r="E115" i="2"/>
  <c r="F113" i="2"/>
  <c r="F114" i="2" s="1"/>
  <c r="F116" i="2" l="1"/>
  <c r="G113" i="2" s="1"/>
  <c r="G116" i="2" s="1"/>
  <c r="H113" i="2" s="1"/>
  <c r="F115" i="2"/>
  <c r="F117" i="2" l="1"/>
  <c r="F118" i="2" s="1"/>
  <c r="F119" i="2" s="1"/>
  <c r="Y87" i="2"/>
  <c r="Z88" i="2" s="1"/>
  <c r="AA89" i="2" s="1"/>
  <c r="E120" i="2"/>
  <c r="E121" i="2" s="1"/>
  <c r="G114" i="2"/>
  <c r="G117" i="2" s="1"/>
  <c r="G118" i="2" s="1"/>
  <c r="G119" i="2" s="1"/>
  <c r="H116" i="2"/>
  <c r="I113" i="2" s="1"/>
  <c r="I114" i="2" s="1"/>
  <c r="I115" i="2" s="1"/>
  <c r="H114" i="2"/>
  <c r="G120" i="2" l="1"/>
  <c r="F120" i="2"/>
  <c r="G115" i="2"/>
  <c r="H117" i="2"/>
  <c r="H118" i="2" s="1"/>
  <c r="H119" i="2" s="1"/>
  <c r="H115" i="2"/>
  <c r="I116" i="2"/>
  <c r="J113" i="2" s="1"/>
  <c r="J114" i="2" s="1"/>
  <c r="G121" i="2" l="1"/>
  <c r="F121" i="2"/>
  <c r="H120" i="2"/>
  <c r="I117" i="2"/>
  <c r="I118" i="2" s="1"/>
  <c r="I119" i="2" s="1"/>
  <c r="J116" i="2"/>
  <c r="K113" i="2" s="1"/>
  <c r="K114" i="2" s="1"/>
  <c r="J115" i="2"/>
  <c r="Z87" i="2" l="1"/>
  <c r="AA88" i="2" s="1"/>
  <c r="H121" i="2"/>
  <c r="I120" i="2"/>
  <c r="J117" i="2"/>
  <c r="J118" i="2" s="1"/>
  <c r="J119" i="2" s="1"/>
  <c r="K115" i="2"/>
  <c r="K116" i="2"/>
  <c r="L113" i="2" s="1"/>
  <c r="L114" i="2" s="1"/>
  <c r="I121" i="2" l="1"/>
  <c r="J120" i="2"/>
  <c r="L115" i="2"/>
  <c r="L116" i="2"/>
  <c r="M113" i="2" s="1"/>
  <c r="M114" i="2" s="1"/>
  <c r="K117" i="2"/>
  <c r="K118" i="2" s="1"/>
  <c r="K119" i="2" s="1"/>
  <c r="J121" i="2" l="1"/>
  <c r="K120" i="2"/>
  <c r="M116" i="2"/>
  <c r="N113" i="2" s="1"/>
  <c r="N114" i="2" s="1"/>
  <c r="M115" i="2"/>
  <c r="L117" i="2"/>
  <c r="L118" i="2" s="1"/>
  <c r="L119" i="2" s="1"/>
  <c r="AA87" i="2" l="1"/>
  <c r="K121" i="2"/>
  <c r="L120" i="2"/>
  <c r="M117" i="2"/>
  <c r="M118" i="2" s="1"/>
  <c r="M119" i="2" s="1"/>
  <c r="N116" i="2"/>
  <c r="N115" i="2"/>
  <c r="M120" i="2" l="1"/>
  <c r="L121" i="2"/>
  <c r="N117" i="2"/>
  <c r="N118" i="2" s="1"/>
  <c r="N119" i="2" s="1"/>
  <c r="M121" i="2" l="1"/>
  <c r="N120" i="2"/>
  <c r="N121" i="2" l="1"/>
  <c r="I53" i="6" l="1"/>
  <c r="P46" i="5"/>
  <c r="O46" i="5"/>
  <c r="E24" i="5"/>
  <c r="C24" i="5"/>
  <c r="D43" i="5"/>
  <c r="E43" i="5"/>
  <c r="F43" i="5"/>
  <c r="C43" i="5"/>
  <c r="J43" i="5" l="1"/>
  <c r="K43" i="5"/>
  <c r="L43" i="5"/>
  <c r="O43" i="5"/>
  <c r="P43" i="5"/>
  <c r="M43" i="5"/>
  <c r="N43" i="5"/>
  <c r="I43" i="5"/>
  <c r="F53" i="6"/>
  <c r="M23" i="5"/>
  <c r="L23" i="5"/>
  <c r="J23" i="5"/>
  <c r="G23" i="5"/>
  <c r="N23" i="5"/>
  <c r="P23" i="5"/>
  <c r="O23" i="5"/>
  <c r="H23" i="5"/>
  <c r="I23" i="5"/>
  <c r="K23" i="5"/>
  <c r="N22" i="5"/>
  <c r="P22" i="5"/>
  <c r="N46" i="5"/>
  <c r="M46" i="5"/>
  <c r="L46" i="5"/>
  <c r="K46" i="5"/>
  <c r="J46" i="5"/>
  <c r="D24" i="5"/>
  <c r="G24" i="5" s="1"/>
  <c r="J22" i="5"/>
  <c r="I22" i="5"/>
  <c r="H22" i="5"/>
  <c r="M22" i="5"/>
  <c r="L22" i="5"/>
  <c r="K22" i="5"/>
  <c r="O22" i="5"/>
  <c r="G22" i="5"/>
  <c r="P24" i="5" l="1"/>
  <c r="L48" i="5"/>
  <c r="M48" i="5"/>
  <c r="N48" i="5"/>
  <c r="O48" i="5"/>
  <c r="P48" i="5"/>
  <c r="J48" i="5"/>
  <c r="K48" i="5"/>
  <c r="M24" i="5"/>
  <c r="N24" i="5"/>
  <c r="L24" i="5"/>
  <c r="K24" i="5"/>
  <c r="O24" i="5"/>
  <c r="H24" i="5"/>
  <c r="J24" i="5"/>
  <c r="I24" i="5"/>
  <c r="H101" i="2" l="1"/>
  <c r="I101" i="2" s="1"/>
  <c r="J101" i="2" s="1"/>
  <c r="K101" i="2" s="1"/>
  <c r="L101" i="2" s="1"/>
  <c r="M101" i="2" s="1"/>
  <c r="N101" i="2" s="1"/>
  <c r="G102" i="2" l="1"/>
  <c r="G104" i="2" s="1"/>
  <c r="H100" i="2"/>
  <c r="H102" i="2" s="1"/>
  <c r="H104" i="2" s="1"/>
  <c r="F102" i="2"/>
  <c r="F104" i="2" s="1"/>
  <c r="E102" i="2"/>
  <c r="E104" i="2" s="1"/>
  <c r="I100" i="2" l="1"/>
  <c r="V98" i="2" s="1"/>
  <c r="U98" i="2"/>
  <c r="E103" i="2"/>
  <c r="E105" i="2" s="1"/>
  <c r="E106" i="2" s="1"/>
  <c r="I102" i="2" l="1"/>
  <c r="I104" i="2" s="1"/>
  <c r="W99" i="2"/>
  <c r="X100" i="2" s="1"/>
  <c r="Y101" i="2" s="1"/>
  <c r="Z102" i="2" s="1"/>
  <c r="AA103" i="2" s="1"/>
  <c r="J100" i="2"/>
  <c r="W98" i="2" s="1"/>
  <c r="V99" i="2"/>
  <c r="W100" i="2" s="1"/>
  <c r="X101" i="2" s="1"/>
  <c r="Y102" i="2" s="1"/>
  <c r="Z103" i="2" s="1"/>
  <c r="AA104" i="2" s="1"/>
  <c r="E135" i="2"/>
  <c r="D135" i="2"/>
  <c r="C16" i="2"/>
  <c r="D136" i="2" l="1"/>
  <c r="D137" i="2" s="1"/>
  <c r="E136" i="2"/>
  <c r="E137" i="2" s="1"/>
  <c r="J102" i="2"/>
  <c r="J104" i="2" s="1"/>
  <c r="E66" i="2"/>
  <c r="K100" i="2"/>
  <c r="X98" i="2" s="1"/>
  <c r="Y99" i="2" s="1"/>
  <c r="Z100" i="2" s="1"/>
  <c r="AA101" i="2" s="1"/>
  <c r="X99" i="2"/>
  <c r="Y100" i="2" s="1"/>
  <c r="Z101" i="2" s="1"/>
  <c r="AA102" i="2" s="1"/>
  <c r="E107" i="2"/>
  <c r="C140" i="2" l="1"/>
  <c r="C49" i="6" s="1"/>
  <c r="C139" i="2"/>
  <c r="D67" i="6" s="1"/>
  <c r="L100" i="2"/>
  <c r="Y98" i="2" s="1"/>
  <c r="Z99" i="2" s="1"/>
  <c r="AA100" i="2" s="1"/>
  <c r="K102" i="2"/>
  <c r="K104" i="2" s="1"/>
  <c r="E108" i="2"/>
  <c r="E76" i="2"/>
  <c r="S74" i="2" s="1"/>
  <c r="M100" i="2" l="1"/>
  <c r="M102" i="2" s="1"/>
  <c r="M104" i="2" s="1"/>
  <c r="L102" i="2"/>
  <c r="L104" i="2" s="1"/>
  <c r="F76" i="2"/>
  <c r="Z98" i="2" l="1"/>
  <c r="N100" i="2"/>
  <c r="AA98" i="2" s="1"/>
  <c r="G76" i="2"/>
  <c r="H64" i="2"/>
  <c r="H74" i="2" s="1"/>
  <c r="T74" i="2"/>
  <c r="T75" i="2"/>
  <c r="U76" i="2" s="1"/>
  <c r="V77" i="2" s="1"/>
  <c r="W78" i="2" s="1"/>
  <c r="X79" i="2" s="1"/>
  <c r="Y80" i="2" s="1"/>
  <c r="Z81" i="2" s="1"/>
  <c r="AA82" i="2" s="1"/>
  <c r="G66" i="2"/>
  <c r="F66" i="2"/>
  <c r="E67" i="2"/>
  <c r="E68" i="2" s="1"/>
  <c r="AA99" i="2" l="1"/>
  <c r="N102" i="2"/>
  <c r="N104" i="2" s="1"/>
  <c r="U74" i="2"/>
  <c r="V75" i="2" s="1"/>
  <c r="W76" i="2" s="1"/>
  <c r="X77" i="2" s="1"/>
  <c r="Y78" i="2" s="1"/>
  <c r="Z79" i="2" s="1"/>
  <c r="AA80" i="2" s="1"/>
  <c r="H66" i="2"/>
  <c r="H76" i="2"/>
  <c r="V74" i="2" s="1"/>
  <c r="W75" i="2" s="1"/>
  <c r="X76" i="2" s="1"/>
  <c r="Y77" i="2" s="1"/>
  <c r="Z78" i="2" s="1"/>
  <c r="AA79" i="2" s="1"/>
  <c r="I64" i="2"/>
  <c r="I74" i="2" s="1"/>
  <c r="U75" i="2"/>
  <c r="G67" i="2"/>
  <c r="G68" i="2" s="1"/>
  <c r="F67" i="2"/>
  <c r="F68" i="2" s="1"/>
  <c r="F103" i="2"/>
  <c r="G103" i="2"/>
  <c r="J103" i="2"/>
  <c r="L103" i="2"/>
  <c r="M103" i="2"/>
  <c r="K103" i="2"/>
  <c r="H103" i="2"/>
  <c r="I103" i="2"/>
  <c r="N103" i="2" l="1"/>
  <c r="N105" i="2" s="1"/>
  <c r="N106" i="2" s="1"/>
  <c r="H67" i="2"/>
  <c r="H68" i="2" s="1"/>
  <c r="I76" i="2"/>
  <c r="W74" i="2" s="1"/>
  <c r="X75" i="2" s="1"/>
  <c r="Y76" i="2" s="1"/>
  <c r="Z77" i="2" s="1"/>
  <c r="AA78" i="2" s="1"/>
  <c r="I66" i="2"/>
  <c r="J64" i="2"/>
  <c r="J74" i="2" s="1"/>
  <c r="V76" i="2"/>
  <c r="K105" i="2"/>
  <c r="K106" i="2" s="1"/>
  <c r="M105" i="2"/>
  <c r="M106" i="2" s="1"/>
  <c r="L105" i="2"/>
  <c r="L106" i="2" s="1"/>
  <c r="I105" i="2"/>
  <c r="I106" i="2" s="1"/>
  <c r="H105" i="2"/>
  <c r="H106" i="2" s="1"/>
  <c r="J105" i="2"/>
  <c r="J106" i="2" s="1"/>
  <c r="G105" i="2"/>
  <c r="G106" i="2" s="1"/>
  <c r="F105" i="2"/>
  <c r="F106" i="2" s="1"/>
  <c r="J76" i="2" l="1"/>
  <c r="X74" i="2" s="1"/>
  <c r="Y75" i="2" s="1"/>
  <c r="Z76" i="2" s="1"/>
  <c r="AA77" i="2" s="1"/>
  <c r="I67" i="2"/>
  <c r="I68" i="2" s="1"/>
  <c r="K64" i="2"/>
  <c r="K74" i="2" s="1"/>
  <c r="J66" i="2"/>
  <c r="W77" i="2"/>
  <c r="K76" i="2" l="1"/>
  <c r="Y74" i="2" s="1"/>
  <c r="Z75" i="2" s="1"/>
  <c r="AA76" i="2" s="1"/>
  <c r="L64" i="2"/>
  <c r="L74" i="2" s="1"/>
  <c r="J67" i="2"/>
  <c r="J68" i="2" s="1"/>
  <c r="K66" i="2"/>
  <c r="X78" i="2"/>
  <c r="H107" i="2"/>
  <c r="H108" i="2" s="1"/>
  <c r="N107" i="2"/>
  <c r="N108" i="2" s="1"/>
  <c r="J107" i="2"/>
  <c r="J108" i="2" s="1"/>
  <c r="F107" i="2"/>
  <c r="M107" i="2"/>
  <c r="M108" i="2" s="1"/>
  <c r="I107" i="2"/>
  <c r="I108" i="2" s="1"/>
  <c r="K107" i="2"/>
  <c r="K108" i="2" s="1"/>
  <c r="L107" i="2"/>
  <c r="L108" i="2" s="1"/>
  <c r="G107" i="2"/>
  <c r="L76" i="2" l="1"/>
  <c r="Z74" i="2" s="1"/>
  <c r="AA75" i="2" s="1"/>
  <c r="N65" i="2"/>
  <c r="M64" i="2"/>
  <c r="M74" i="2" s="1"/>
  <c r="L66" i="2"/>
  <c r="K67" i="2"/>
  <c r="K68" i="2" s="1"/>
  <c r="Y79" i="2"/>
  <c r="F108" i="2"/>
  <c r="G108" i="2"/>
  <c r="I52" i="6" l="1"/>
  <c r="M76" i="2"/>
  <c r="M66" i="2"/>
  <c r="N64" i="2"/>
  <c r="N74" i="2" s="1"/>
  <c r="L67" i="2"/>
  <c r="L68" i="2" s="1"/>
  <c r="Z80" i="2"/>
  <c r="AA74" i="2" l="1"/>
  <c r="F52" i="6"/>
  <c r="H52" i="6"/>
  <c r="N66" i="2"/>
  <c r="N76" i="2"/>
  <c r="M67" i="2"/>
  <c r="M68" i="2" s="1"/>
  <c r="AA81" i="2"/>
  <c r="N67" i="2" l="1"/>
  <c r="N68" i="2" s="1"/>
  <c r="I69" i="2" l="1"/>
  <c r="I70" i="2" s="1"/>
  <c r="I71" i="2" s="1"/>
  <c r="G69" i="2"/>
  <c r="G70" i="2" s="1"/>
  <c r="G71" i="2" s="1"/>
  <c r="K69" i="2"/>
  <c r="K70" i="2" s="1"/>
  <c r="K71" i="2" s="1"/>
  <c r="J69" i="2"/>
  <c r="J70" i="2" s="1"/>
  <c r="J71" i="2" s="1"/>
  <c r="E69" i="2"/>
  <c r="E70" i="2" s="1"/>
  <c r="E71" i="2" l="1"/>
  <c r="E72" i="2" s="1"/>
  <c r="K72" i="2"/>
  <c r="I72" i="2"/>
  <c r="G72" i="2"/>
  <c r="J72" i="2"/>
  <c r="M69" i="2"/>
  <c r="M70" i="2" s="1"/>
  <c r="M71" i="2" s="1"/>
  <c r="L69" i="2"/>
  <c r="L70" i="2" s="1"/>
  <c r="L71" i="2" s="1"/>
  <c r="F69" i="2"/>
  <c r="F70" i="2" s="1"/>
  <c r="F71" i="2" s="1"/>
  <c r="H69" i="2"/>
  <c r="H70" i="2" s="1"/>
  <c r="H71" i="2" s="1"/>
  <c r="N69" i="2"/>
  <c r="N70" i="2" s="1"/>
  <c r="N71" i="2" s="1"/>
  <c r="E73" i="2" l="1"/>
  <c r="J73" i="2"/>
  <c r="L72" i="2"/>
  <c r="G73" i="2"/>
  <c r="N72" i="2"/>
  <c r="M72" i="2"/>
  <c r="I73" i="2"/>
  <c r="K73" i="2"/>
  <c r="H72" i="2"/>
  <c r="F72" i="2"/>
  <c r="F73" i="2" l="1"/>
  <c r="H73" i="2"/>
  <c r="L73" i="2"/>
  <c r="M73" i="2"/>
  <c r="N73" i="2"/>
  <c r="I49" i="6" l="1"/>
  <c r="H49" i="6" l="1"/>
  <c r="F49" i="6"/>
  <c r="G49" i="6"/>
  <c r="K35" i="5" l="1"/>
  <c r="K36" i="5" s="1"/>
  <c r="J30" i="5"/>
  <c r="K30" i="5"/>
  <c r="G35" i="5"/>
  <c r="G36" i="5" s="1"/>
  <c r="F30" i="5"/>
  <c r="F36" i="5"/>
  <c r="E30" i="5"/>
  <c r="I35" i="5"/>
  <c r="I36" i="5" s="1"/>
  <c r="H30" i="5"/>
  <c r="J35" i="5"/>
  <c r="J36" i="5" s="1"/>
  <c r="I30" i="5"/>
  <c r="G30" i="5"/>
  <c r="H35" i="5"/>
  <c r="H36" i="5" s="1"/>
  <c r="D30" i="5"/>
  <c r="E35" i="5"/>
  <c r="C30" i="5"/>
  <c r="AA95" i="2" l="1"/>
  <c r="N88" i="2" s="1"/>
  <c r="X83" i="2"/>
  <c r="K77" i="2" s="1"/>
  <c r="K78" i="2" s="1"/>
  <c r="K79" i="2" s="1"/>
  <c r="K80" i="2" s="1"/>
  <c r="S95" i="2"/>
  <c r="F88" i="2" s="1"/>
  <c r="T95" i="2"/>
  <c r="G88" i="2" s="1"/>
  <c r="U95" i="2"/>
  <c r="H88" i="2" s="1"/>
  <c r="T83" i="2"/>
  <c r="G77" i="2" s="1"/>
  <c r="Y95" i="2"/>
  <c r="L88" i="2" s="1"/>
  <c r="Z95" i="2"/>
  <c r="M88" i="2" s="1"/>
  <c r="E36" i="5"/>
  <c r="AA83" i="2"/>
  <c r="N77" i="2" s="1"/>
  <c r="W83" i="2"/>
  <c r="J77" i="2" s="1"/>
  <c r="Y83" i="2"/>
  <c r="L77" i="2" s="1"/>
  <c r="S83" i="2"/>
  <c r="F77" i="2" s="1"/>
  <c r="X95" i="2"/>
  <c r="K88" i="2" s="1"/>
  <c r="R83" i="2"/>
  <c r="E77" i="2" s="1"/>
  <c r="W95" i="2"/>
  <c r="J88" i="2" s="1"/>
  <c r="U83" i="2"/>
  <c r="H77" i="2" s="1"/>
  <c r="Z83" i="2"/>
  <c r="M77" i="2" s="1"/>
  <c r="R95" i="2"/>
  <c r="E88" i="2" s="1"/>
  <c r="V95" i="2"/>
  <c r="I88" i="2" s="1"/>
  <c r="V83" i="2"/>
  <c r="I77" i="2" s="1"/>
  <c r="K81" i="2" l="1"/>
  <c r="K82" i="2" s="1"/>
  <c r="K83" i="2" s="1"/>
  <c r="L78" i="2"/>
  <c r="L79" i="2" s="1"/>
  <c r="L80" i="2" s="1"/>
  <c r="J78" i="2"/>
  <c r="J79" i="2" s="1"/>
  <c r="J80" i="2" s="1"/>
  <c r="N78" i="2"/>
  <c r="N79" i="2" s="1"/>
  <c r="N80" i="2" s="1"/>
  <c r="M78" i="2"/>
  <c r="M79" i="2" s="1"/>
  <c r="M80" i="2" s="1"/>
  <c r="T107" i="2"/>
  <c r="G89" i="2" s="1"/>
  <c r="R107" i="2"/>
  <c r="E89" i="2" s="1"/>
  <c r="E91" i="2" s="1"/>
  <c r="E92" i="2" s="1"/>
  <c r="E93" i="2" s="1"/>
  <c r="E96" i="2" s="1"/>
  <c r="W107" i="2"/>
  <c r="J89" i="2" s="1"/>
  <c r="J91" i="2" s="1"/>
  <c r="J92" i="2" s="1"/>
  <c r="X107" i="2"/>
  <c r="K89" i="2" s="1"/>
  <c r="AA107" i="2"/>
  <c r="N89" i="2" s="1"/>
  <c r="U107" i="2"/>
  <c r="H89" i="2" s="1"/>
  <c r="S107" i="2"/>
  <c r="F89" i="2" s="1"/>
  <c r="Y107" i="2"/>
  <c r="L89" i="2" s="1"/>
  <c r="L91" i="2" s="1"/>
  <c r="L92" i="2" s="1"/>
  <c r="L93" i="2" s="1"/>
  <c r="L96" i="2" s="1"/>
  <c r="Z107" i="2"/>
  <c r="M89" i="2" s="1"/>
  <c r="M91" i="2" s="1"/>
  <c r="M92" i="2" s="1"/>
  <c r="V107" i="2"/>
  <c r="I89" i="2" s="1"/>
  <c r="I91" i="2" s="1"/>
  <c r="I92" i="2" s="1"/>
  <c r="G78" i="2"/>
  <c r="G79" i="2" s="1"/>
  <c r="G80" i="2" s="1"/>
  <c r="H78" i="2"/>
  <c r="H79" i="2" s="1"/>
  <c r="H80" i="2" s="1"/>
  <c r="E78" i="2"/>
  <c r="I78" i="2"/>
  <c r="I79" i="2" s="1"/>
  <c r="I80" i="2" s="1"/>
  <c r="F78" i="2"/>
  <c r="F79" i="2" s="1"/>
  <c r="F80" i="2" s="1"/>
  <c r="L122" i="2" l="1"/>
  <c r="N81" i="2"/>
  <c r="N82" i="2" s="1"/>
  <c r="N83" i="2" s="1"/>
  <c r="F81" i="2"/>
  <c r="F82" i="2" s="1"/>
  <c r="F83" i="2" s="1"/>
  <c r="J81" i="2"/>
  <c r="J82" i="2" s="1"/>
  <c r="J83" i="2" s="1"/>
  <c r="I81" i="2"/>
  <c r="I82" i="2" s="1"/>
  <c r="I83" i="2" s="1"/>
  <c r="L81" i="2"/>
  <c r="L82" i="2" s="1"/>
  <c r="L83" i="2" s="1"/>
  <c r="H81" i="2"/>
  <c r="H82" i="2" s="1"/>
  <c r="H83" i="2" s="1"/>
  <c r="G81" i="2"/>
  <c r="G82" i="2" s="1"/>
  <c r="G83" i="2" s="1"/>
  <c r="M81" i="2"/>
  <c r="M82" i="2" s="1"/>
  <c r="M83" i="2" s="1"/>
  <c r="L97" i="2"/>
  <c r="L98" i="2" s="1"/>
  <c r="E97" i="2"/>
  <c r="E98" i="2" s="1"/>
  <c r="E79" i="2"/>
  <c r="E80" i="2" s="1"/>
  <c r="E122" i="2" s="1"/>
  <c r="N91" i="2"/>
  <c r="N92" i="2" s="1"/>
  <c r="N93" i="2" s="1"/>
  <c r="N96" i="2" s="1"/>
  <c r="N97" i="2" s="1"/>
  <c r="K91" i="2"/>
  <c r="K92" i="2" s="1"/>
  <c r="K93" i="2" s="1"/>
  <c r="K96" i="2" s="1"/>
  <c r="K122" i="2" s="1"/>
  <c r="H91" i="2"/>
  <c r="H92" i="2" s="1"/>
  <c r="H93" i="2" s="1"/>
  <c r="H96" i="2" s="1"/>
  <c r="H97" i="2" s="1"/>
  <c r="M93" i="2"/>
  <c r="M96" i="2" s="1"/>
  <c r="M122" i="2" s="1"/>
  <c r="G91" i="2"/>
  <c r="G92" i="2" s="1"/>
  <c r="G93" i="2" s="1"/>
  <c r="G96" i="2" s="1"/>
  <c r="G97" i="2" s="1"/>
  <c r="I93" i="2"/>
  <c r="I96" i="2" s="1"/>
  <c r="I122" i="2" s="1"/>
  <c r="J93" i="2"/>
  <c r="J96" i="2" s="1"/>
  <c r="J122" i="2" s="1"/>
  <c r="F91" i="2"/>
  <c r="F92" i="2" s="1"/>
  <c r="F93" i="2" s="1"/>
  <c r="F96" i="2" s="1"/>
  <c r="F97" i="2" s="1"/>
  <c r="L99" i="2" l="1"/>
  <c r="L124" i="2" s="1"/>
  <c r="K129" i="2" s="1"/>
  <c r="L123" i="2"/>
  <c r="E99" i="2"/>
  <c r="G122" i="2"/>
  <c r="H122" i="2"/>
  <c r="N122" i="2"/>
  <c r="F122" i="2"/>
  <c r="K97" i="2"/>
  <c r="K98" i="2" s="1"/>
  <c r="K123" i="2" s="1"/>
  <c r="E81" i="2"/>
  <c r="E82" i="2" s="1"/>
  <c r="E83" i="2" s="1"/>
  <c r="J97" i="2"/>
  <c r="J98" i="2" s="1"/>
  <c r="J123" i="2" s="1"/>
  <c r="I97" i="2"/>
  <c r="I98" i="2" s="1"/>
  <c r="I123" i="2" s="1"/>
  <c r="M97" i="2"/>
  <c r="M98" i="2" s="1"/>
  <c r="M123" i="2" s="1"/>
  <c r="G98" i="2"/>
  <c r="G123" i="2" s="1"/>
  <c r="H98" i="2"/>
  <c r="H123" i="2" s="1"/>
  <c r="F98" i="2"/>
  <c r="F123" i="2" s="1"/>
  <c r="N98" i="2"/>
  <c r="N123" i="2" s="1"/>
  <c r="E123" i="2" l="1"/>
  <c r="C148" i="2"/>
  <c r="E124" i="2"/>
  <c r="D129" i="2" s="1"/>
  <c r="M99" i="2"/>
  <c r="M124" i="2" s="1"/>
  <c r="L129" i="2" s="1"/>
  <c r="I99" i="2"/>
  <c r="I124" i="2" s="1"/>
  <c r="H129" i="2" s="1"/>
  <c r="J99" i="2"/>
  <c r="J124" i="2" s="1"/>
  <c r="I129" i="2" s="1"/>
  <c r="I50" i="6"/>
  <c r="F50" i="6" s="1"/>
  <c r="K99" i="2"/>
  <c r="K124" i="2" s="1"/>
  <c r="J129" i="2" s="1"/>
  <c r="F99" i="2"/>
  <c r="F124" i="2" s="1"/>
  <c r="E129" i="2" s="1"/>
  <c r="H99" i="2"/>
  <c r="H124" i="2" s="1"/>
  <c r="G129" i="2" s="1"/>
  <c r="N99" i="2"/>
  <c r="N124" i="2" s="1"/>
  <c r="M129" i="2" s="1"/>
  <c r="G99" i="2"/>
  <c r="G124" i="2" s="1"/>
  <c r="F129" i="2" s="1"/>
  <c r="C144" i="2" l="1"/>
  <c r="G50" i="6"/>
  <c r="H50" i="6"/>
  <c r="I51" i="6"/>
  <c r="C152" i="2" l="1"/>
  <c r="F158" i="2" s="1"/>
  <c r="C145" i="2"/>
  <c r="C146" i="2"/>
  <c r="F51" i="6"/>
  <c r="F54" i="6" s="1"/>
  <c r="G51" i="6"/>
  <c r="G54" i="6" s="1"/>
  <c r="H51" i="6"/>
  <c r="H54" i="6" s="1"/>
  <c r="I54" i="6"/>
  <c r="C147" i="2" l="1"/>
  <c r="D69" i="6"/>
  <c r="D68" i="6"/>
  <c r="F169" i="2" l="1"/>
  <c r="P190" i="2"/>
  <c r="P179" i="2"/>
  <c r="P169" i="2"/>
  <c r="C50" i="6"/>
  <c r="C51" i="6" s="1"/>
  <c r="C20" i="6"/>
  <c r="P158" i="2"/>
  <c r="F194" i="2"/>
  <c r="F18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tc={FB38E375-667D-47D4-935C-55B3850BBA37}</author>
    <author>tc={A2DD7E51-F7E1-4680-BBF5-1BDBF9198A72}</author>
  </authors>
  <commentList>
    <comment ref="B26" authorId="0" shapeId="0" xr:uid="{FB38E375-667D-47D4-935C-55B3850BBA37}">
      <text>
        <t>[Threaded comment]
Your version of Excel allows you to read this threaded comment; however, any edits to it will get removed if the file is opened in a newer version of Excel. Learn more: https://go.microsoft.com/fwlink/?linkid=870924
Comment:
    50% Yield benefit of stumping (assumption realization rate of TNS model)  ; -10% Coffee Price Change</t>
      </text>
    </comment>
    <comment ref="B27" authorId="1" shapeId="0" xr:uid="{A2DD7E51-F7E1-4680-BBF5-1BDBF9198A72}">
      <text>
        <t>[Threaded comment]
Your version of Excel allows you to read this threaded comment; however, any edits to it will get removed if the file is opened in a newer version of Excel. Learn more: https://go.microsoft.com/fwlink/?linkid=870924
Comment:
    100% Yield benefit of stumping (assumption realization rate of TNS model) ; +10% Coffee Price Change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tc={4634C71C-3738-4437-A035-62F15783694A}</author>
    <author>tc={AFADC3C1-0FF2-4B8F-BF49-C756ACB373E2}</author>
    <author>tc={EF704FA5-B07C-4810-ACB5-36B778D49305}</author>
    <author>tc={C9A60295-788D-46D9-AF88-140B5AB978ED}</author>
    <author>tc={0293D4CD-B3A8-49D1-9E68-25301097BD66}</author>
    <author>tc={4656BD80-1D79-46D2-869D-C2A5F4ED6020}</author>
    <author>tc={EDD1407E-6F16-44C2-8319-C27B0EF7D46A}</author>
    <author>tc={AFAA3F3A-46F8-4764-AD32-5BC17C355871}</author>
    <author>tc={F4C38132-CAAC-418A-90FB-2C79CA16AC35}</author>
    <author>tc={0A53B6F2-3CD0-455D-ACF3-6E00C7190ED8}</author>
    <author>tc={524A5D95-6FB3-4DE7-B2D4-1F4433A3180D}</author>
    <author>tc={FDE5F3AA-84C5-40B5-96FE-E140F95A33FA}</author>
    <author>tc={2DCCDF8A-4262-4EAD-9394-32C0BE8740FD}</author>
    <author>tc={191FF8B6-58F3-4D47-BC20-8857F6C653A2}</author>
    <author>tc={1DEEFF16-A500-42DC-8578-A077A74967C3}</author>
    <author>tc={587FC704-86E8-4647-ACB8-C8F18B8CBBF1}</author>
    <author>tc={6790C41D-427A-4377-92A8-9CB50499A67F}</author>
    <author>tc={B24A3F7C-422C-47FF-86F8-3DF952A58AD3}</author>
    <author>tc={733DCB5B-7F39-4FEC-ADF4-43884474924E}</author>
    <author>tc={E714502D-AB23-4659-9876-0A2B9BC1AA37}</author>
    <author>tc={18997ADD-E695-4F2F-BC7B-3FB86D20A266}</author>
  </authors>
  <commentList>
    <comment ref="C17" authorId="0" shapeId="0" xr:uid="{4634C71C-3738-4437-A035-62F15783694A}">
      <text>
        <t>[Threaded comment]
Your version of Excel allows you to read this threaded comment; however, any edits to it will get removed if the file is opened in a newer version of Excel. Learn more: https://go.microsoft.com/fwlink/?linkid=870924
Comment:
    TNS SROI model and interviews during field visits</t>
      </text>
    </comment>
    <comment ref="C18" authorId="1" shapeId="0" xr:uid="{AFADC3C1-0FF2-4B8F-BF49-C756ACB373E2}">
      <text>
        <t>[Threaded comment]
Your version of Excel allows you to read this threaded comment; however, any edits to it will get removed if the file is opened in a newer version of Excel. Learn more: https://go.microsoft.com/fwlink/?linkid=870924
Comment:
    Interviews during field visits</t>
      </text>
    </comment>
    <comment ref="F21" authorId="2" shapeId="0" xr:uid="{EF704FA5-B07C-4810-ACB5-36B778D49305}">
      <text>
        <t>[Threaded comment]
Your version of Excel allows you to read this threaded comment; however, any edits to it will get removed if the file is opened in a newer version of Excel. Learn more: https://go.microsoft.com/fwlink/?linkid=870924
Comment:
    For rates after 2022, we take the 5-year average daily labor rate from 2018-2022.</t>
      </text>
    </comment>
    <comment ref="C22" authorId="3" shapeId="0" xr:uid="{C9A60295-788D-46D9-AF88-140B5AB978ED}">
      <text>
        <t>[Threaded comment]
Your version of Excel allows you to read this threaded comment; however, any edits to it will get removed if the file is opened in a newer version of Excel. Learn more: https://go.microsoft.com/fwlink/?linkid=870924
Comment:
    2020: C2019 Endline (p. 51)</t>
      </text>
    </comment>
    <comment ref="D22" authorId="4" shapeId="0" xr:uid="{0293D4CD-B3A8-49D1-9E68-25301097BD66}">
      <text>
        <t>[Threaded comment]
Your version of Excel allows you to read this threaded comment; however, any edits to it will get removed if the file is opened in a newer version of Excel. Learn more: https://go.microsoft.com/fwlink/?linkid=870924
Comment:
    2021: average 2020-2022</t>
      </text>
    </comment>
    <comment ref="E22" authorId="5" shapeId="0" xr:uid="{4656BD80-1D79-46D2-869D-C2A5F4ED6020}">
      <text>
        <t>[Threaded comment]
Your version of Excel allows you to read this threaded comment; however, any edits to it will get removed if the file is opened in a newer version of Excel. Learn more: https://go.microsoft.com/fwlink/?linkid=870924
Comment:
    2022: C2020 Endline (p.34)</t>
      </text>
    </comment>
    <comment ref="F22" authorId="6" shapeId="0" xr:uid="{EDD1407E-6F16-44C2-8319-C27B0EF7D46A}">
      <text>
        <t xml:space="preserve">[Threaded comment]
Your version of Excel allows you to read this threaded comment; however, any edits to it will get removed if the file is opened in a newer version of Excel. Learn more: https://go.microsoft.com/fwlink/?linkid=870924
Comment:
    TNS JCP C22 Endline own calculation: mean daily wage rate for weeding
</t>
      </text>
    </comment>
    <comment ref="B37" authorId="7" shapeId="0" xr:uid="{AFAA3F3A-46F8-4764-AD32-5BC17C355871}">
      <text>
        <t>[Threaded comment]
Your version of Excel allows you to read this threaded comment; however, any edits to it will get removed if the file is opened in a newer version of Excel. Learn more: https://go.microsoft.com/fwlink/?linkid=870924
Comment:
    yields of improved coffee varieties are estimated to be 25–29% higher than those of traditional (local) varieties. In this calculation, yield data for unstumped trees from TechnoServe are used as the baseline and multiplied by a factor of 1.25 to approximate the expected yields of newly planted improved varieties.
It should be noted that the absolute yields observed in Diro and Erko (2019) were substantially lower, with maximum yields of approximately 1 kg of fresh cherry per tree.</t>
      </text>
    </comment>
    <comment ref="I40" authorId="8" shapeId="0" xr:uid="{F4C38132-CAAC-418A-90FB-2C79CA16AC35}">
      <text>
        <t>[Threaded comment]
Your version of Excel allows you to read this threaded comment; however, any edits to it will get removed if the file is opened in a newer version of Excel. Learn more: https://go.microsoft.com/fwlink/?linkid=870924
Comment:
    For prices after 2025 we take the 5-year average coffee price from 2021-2025.</t>
      </text>
    </comment>
    <comment ref="C41" authorId="9" shapeId="0" xr:uid="{0A53B6F2-3CD0-455D-ACF3-6E00C7190ED8}">
      <text>
        <t>[Threaded comment]
Your version of Excel allows you to read this threaded comment; however, any edits to it will get removed if the file is opened in a newer version of Excel. Learn more: https://go.microsoft.com/fwlink/?linkid=870924
Comment:
    2020: C2019 Endline (p.45)</t>
      </text>
    </comment>
    <comment ref="D41" authorId="10" shapeId="0" xr:uid="{524A5D95-6FB3-4DE7-B2D4-1F4433A3180D}">
      <text>
        <t xml:space="preserve">[Threaded comment]
Your version of Excel allows you to read this threaded comment; however, any edits to it will get removed if the file is opened in a newer version of Excel. Learn more: https://go.microsoft.com/fwlink/?linkid=870924
Comment:
     2021: C022 Baseline (p.47) </t>
      </text>
    </comment>
    <comment ref="E41" authorId="11" shapeId="0" xr:uid="{FDE5F3AA-84C5-40B5-96FE-E140F95A33FA}">
      <text>
        <t>[Threaded comment]
Your version of Excel allows you to read this threaded comment; however, any edits to it will get removed if the file is opened in a newer version of Excel. Learn more: https://go.microsoft.com/fwlink/?linkid=870924
Comment:
     C2023 Baseline (p. ii)</t>
      </text>
    </comment>
    <comment ref="F41" authorId="12" shapeId="0" xr:uid="{2DCCDF8A-4262-4EAD-9394-32C0BE8740FD}">
      <text>
        <t>[Threaded comment]
Your version of Excel allows you to read this threaded comment; however, any edits to it will get removed if the file is opened in a newer version of Excel. Learn more: https://go.microsoft.com/fwlink/?linkid=870924
Comment:
    2023: EL C2022</t>
      </text>
    </comment>
    <comment ref="G41" authorId="13" shapeId="0" xr:uid="{191FF8B6-58F3-4D47-BC20-8857F6C653A2}">
      <text>
        <t xml:space="preserve">[Threaded comment]
Your version of Excel allows you to read this threaded comment; however, any edits to it will get removed if the file is opened in a newer version of Excel. Learn more: https://go.microsoft.com/fwlink/?linkid=870924
Comment:
    Technoserve own data provided from Jimma region
</t>
      </text>
    </comment>
    <comment ref="H41" authorId="14" shapeId="0" xr:uid="{1DEEFF16-A500-42DC-8578-A077A74967C3}">
      <text>
        <t>[Threaded comment]
Your version of Excel allows you to read this threaded comment; however, any edits to it will get removed if the file is opened in a newer version of Excel. Learn more: https://go.microsoft.com/fwlink/?linkid=870924
Comment:
    Zonal Agriculture (Department of Market Linkage) and the Zonal Trade Office.
Reply:
    To be updated with evaluation data</t>
      </text>
    </comment>
    <comment ref="C46" authorId="15" shapeId="0" xr:uid="{587FC704-86E8-4647-ACB8-C8F18B8CBBF1}">
      <text>
        <t>[Threaded comment]
Your version of Excel allows you to read this threaded comment; however, any edits to it will get removed if the file is opened in a newer version of Excel. Learn more: https://go.microsoft.com/fwlink/?linkid=870924
Comment:
    https://reliefweb.int/report/ethiopia/ethiopia-price-bulletin-september-2020?utm_source=chatgpt.com</t>
      </text>
    </comment>
    <comment ref="D46" authorId="16" shapeId="0" xr:uid="{6790C41D-427A-4377-92A8-9CB50499A67F}">
      <text>
        <t>[Threaded comment]
Your version of Excel allows you to read this threaded comment; however, any edits to it will get removed if the file is opened in a newer version of Excel. Learn more: https://go.microsoft.com/fwlink/?linkid=870924
Comment:
    https://reliefweb.int/report/ethiopia/ethiopia-price-bulletin-december-2021?utm_source=chatgpt.com</t>
      </text>
    </comment>
    <comment ref="F46" authorId="17" shapeId="0" xr:uid="{B24A3F7C-422C-47FF-86F8-3DF952A58AD3}">
      <text>
        <t>[Threaded comment]
Your version of Excel allows you to read this threaded comment; however, any edits to it will get removed if the file is opened in a newer version of Excel. Learn more: https://go.microsoft.com/fwlink/?linkid=870924
Comment:
    IFPRI DG IICoF Baseline Report</t>
      </text>
    </comment>
    <comment ref="G46" authorId="18" shapeId="0" xr:uid="{733DCB5B-7F39-4FEC-ADF4-43884474924E}">
      <text>
        <t xml:space="preserve">[Threaded comment]
Your version of Excel allows you to read this threaded comment; however, any edits to it will get removed if the file is opened in a newer version of Excel. Learn more: https://go.microsoft.com/fwlink/?linkid=870924
Comment:
    Digital Green; from Jimma Zonal Agriculture (Department of Market Linkage) and the Zonal Trade Office.
</t>
      </text>
    </comment>
    <comment ref="H46" authorId="19" shapeId="0" xr:uid="{E714502D-AB23-4659-9876-0A2B9BC1AA37}">
      <text>
        <t>[Threaded comment]
Your version of Excel allows you to read this threaded comment; however, any edits to it will get removed if the file is opened in a newer version of Excel. Learn more: https://go.microsoft.com/fwlink/?linkid=870924
Comment:
    Digital Green; from Jimma Zonal Agriculture (Department of Market Linkage) and the Zonal Trade Office.</t>
      </text>
    </comment>
    <comment ref="I46" authorId="20" shapeId="0" xr:uid="{18997ADD-E695-4F2F-BC7B-3FB86D20A266}">
      <text>
        <t>[Threaded comment]
Your version of Excel allows you to read this threaded comment; however, any edits to it will get removed if the file is opened in a newer version of Excel. Learn more: https://go.microsoft.com/fwlink/?linkid=870924
Comment:
    Digital Green; from Jimma Zonal Agriculture (Department of Market Linkage) and the Zonal Trade Office.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tc={625AE7DB-E28D-4EE5-AE02-6DEAE043E6F0}</author>
    <author>tc={EE47D0C9-5102-4A89-B59F-B14C9280B67E}</author>
    <author>tc={341A7916-1D49-4BDA-9F50-35AE8F149FC4}</author>
    <author>tc={123D7A30-527C-471F-B514-A35995EF3C2D}</author>
    <author>tc={E96E6715-F10A-4554-9891-4CD5D673BD7E}</author>
    <author>tc={1454B32D-77F0-4821-950C-E240EE648FE4}</author>
    <author>tc={FA38B824-E99F-449D-9AE5-9ABA8B132A6C}</author>
    <author>tc={467F76E6-75E5-47C9-AB3F-7EEBEBAC9C46}</author>
    <author>tc={A72CD246-7BA3-4837-9795-D00C8BC1CDB2}</author>
    <author>tc={16DB2E1C-9A1C-4549-BF8F-3351C5DDAFCF}</author>
    <author>tc={302FDB4C-47AA-4CCC-91F6-A38FEAB40CDD}</author>
    <author>tc={9E5B5447-B488-4009-A158-41C07121638B}</author>
    <author>tc={DF773D7A-CDD1-45AB-B506-F5AD286D1788}</author>
    <author>tc={C659853F-A28E-4885-83C0-5B658B1A8E1B}</author>
    <author>tc={F97081A5-4CB7-4174-8319-5468E945313C}</author>
    <author>tc={B0F3303E-9F67-472D-8925-0841C5347BD2}</author>
    <author>tc={02E3D70E-218D-4252-9238-46808DA4E21D}</author>
  </authors>
  <commentList>
    <comment ref="B9" authorId="0" shapeId="0" xr:uid="{625AE7DB-E28D-4EE5-AE02-6DEAE043E6F0}">
      <text>
        <t xml:space="preserve">[Threaded comment]
Your version of Excel allows you to read this threaded comment; however, any edits to it will get removed if the file is opened in a newer version of Excel. Learn more: https://go.microsoft.com/fwlink/?linkid=870924
Comment:
    The assumption realization rate indicates how much of the TNS model's projected value is reflected in observed field data. A rate of 100% means field outcomes fully match the original model assumptions; lower rates indicate a gap between projected and observed values.
We test yield assumptions as the evaluation data consistently shows lower yields than the TNS model projections, we apply a corresponding assumption realization rate to adjust the SROI calculation accordingly. This allows us to assess how sensitive the overall return estimate is to the accuracy of underlying agronomic assumptions.
</t>
      </text>
    </comment>
    <comment ref="B47" authorId="1" shapeId="0" xr:uid="{EE47D0C9-5102-4A89-B59F-B14C9280B67E}">
      <text>
        <t>[Threaded comment]
Your version of Excel allows you to read this threaded comment; however, any edits to it will get removed if the file is opened in a newer version of Excel. Learn more: https://go.microsoft.com/fwlink/?linkid=870924
Comment:
    As of July 2023, a living income (i.e., the income required for a basic decent living) for a typical rural household in the Jimma Zone was estimated at:
ETB 198,144 per year (~USD 3,624) (approx. monthly Birr 16,512).  (Anker Research: chrome-extension://efaidnbmnnnibpcajpcglclefindmkaj/https://ico.org/global-knowledge-hub/wp-content/uploads/2025/03/Ethiopia.pdf)</t>
      </text>
    </comment>
    <comment ref="E70" authorId="2" shapeId="0" xr:uid="{341A7916-1D49-4BDA-9F50-35AE8F149FC4}">
      <text>
        <t>[Threaded comment]
Your version of Excel allows you to read this threaded comment; however, any edits to it will get removed if the file is opened in a newer version of Excel. Learn more: https://go.microsoft.com/fwlink/?linkid=870924
Comment:
    Likely overestimating of costs by DG therefore set to zero in profit calculation</t>
      </text>
    </comment>
    <comment ref="C74" authorId="3" shapeId="0" xr:uid="{123D7A30-527C-471F-B514-A35995EF3C2D}">
      <text>
        <t>[Threaded comment]
Your version of Excel allows you to read this threaded comment; however, any edits to it will get removed if the file is opened in a newer version of Excel. Learn more: https://go.microsoft.com/fwlink/?linkid=870924
Comment:
    JCP C22 Endline page 72: 31,3% of farmers have adopted stumping without incentives</t>
      </text>
    </comment>
    <comment ref="C75" authorId="4" shapeId="0" xr:uid="{E96E6715-F10A-4554-9891-4CD5D673BD7E}">
      <text>
        <t>[Threaded comment]
Your version of Excel allows you to read this threaded comment; however, any edits to it will get removed if the file is opened in a newer version of Excel. Learn more: https://go.microsoft.com/fwlink/?linkid=870924
Comment:
    JCP C22 endline page 72: Without incentives farmers who stumped stumped on average 137 trees in a given year</t>
      </text>
    </comment>
    <comment ref="E84" authorId="5" shapeId="0" xr:uid="{1454B32D-77F0-4821-950C-E240EE648FE4}">
      <text>
        <t>[Threaded comment]
Your version of Excel allows you to read this threaded comment; however, any edits to it will get removed if the file is opened in a newer version of Excel. Learn more: https://go.microsoft.com/fwlink/?linkid=870924
Comment:
    2125 is the target milestone set in MEL Framework</t>
      </text>
    </comment>
    <comment ref="F84" authorId="6" shapeId="0" xr:uid="{FA38B824-E99F-449D-9AE5-9ABA8B132A6C}">
      <text>
        <t>[Threaded comment]
Your version of Excel allows you to read this threaded comment; however, any edits to it will get removed if the file is opened in a newer version of Excel. Learn more: https://go.microsoft.com/fwlink/?linkid=870924
Comment:
    10880 is the target milestone set in MEL Framework</t>
      </text>
    </comment>
    <comment ref="G84" authorId="7" shapeId="0" xr:uid="{467F76E6-75E5-47C9-AB3F-7EEBEBAC9C46}">
      <text>
        <t>[Threaded comment]
Your version of Excel allows you to read this threaded comment; however, any edits to it will get removed if the file is opened in a newer version of Excel. Learn more: https://go.microsoft.com/fwlink/?linkid=870924
Comment:
    3995 is the target milestone set in MEL Framework</t>
      </text>
    </comment>
    <comment ref="C88" authorId="8" shapeId="0" xr:uid="{A72CD246-7BA3-4837-9795-D00C8BC1CDB2}">
      <text>
        <t xml:space="preserve">[Threaded comment]
Your version of Excel allows you to read this threaded comment; however, any edits to it will get removed if the file is opened in a newer version of Excel. Learn more: https://go.microsoft.com/fwlink/?linkid=870924
Comment:
    For additionality, we assume that 50% of participating farmers would have replanted coffee trees even without the project. In this counterfactual, farmers are assumed to use locally reproduced, non-improved varieties with lower average yields. The remaining 50% of farmers are assumed not to have replanted in the absence of project support. </t>
      </text>
    </comment>
    <comment ref="C91" authorId="9" shapeId="0" xr:uid="{16DB2E1C-9A1C-4549-BF8F-3351C5DDAFCF}">
      <text>
        <t xml:space="preserve">[Threaded comment]
Your version of Excel allows you to read this threaded comment; however, any edits to it will get removed if the file is opened in a newer version of Excel. Learn more: https://go.microsoft.com/fwlink/?linkid=870924
Comment:
    Labor impacts are estimated for planting and harvesting activities only. Planting labor is counted exclusively for trees that would not have been planted without project support, in line with the 50% additionality assumption. Harvest labor is calculated based on incremental cherry production. Labor inputs for establishment and management practices (e.g. weeding, mulching, soil management), which are typically higher for young coffee trees, are not included, resulting in a conservative estimate of total labor days. </t>
      </text>
    </comment>
    <comment ref="C94" authorId="10" shapeId="0" xr:uid="{302FDB4C-47AA-4CCC-91F6-A38FEAB40CDD}">
      <text>
        <t xml:space="preserve">[Threaded comment]
Your version of Excel allows you to read this threaded comment; however, any edits to it will get removed if the file is opened in a newer version of Excel. Learn more: https://go.microsoft.com/fwlink/?linkid=870924
Comment:
    We assume that 50% of newly planted coffee trees are used for area expansion. Based on observations from another project in Jimma, where maize fields were converted to coffee, we account for the opportunity costs of foregone maize production for this share. The remaining 50% of trees are assumed to replace old or unproductive coffee trees.
As we assume that only 50% of farmers would have planted coffee in the absence of the project, opportunity costs from maize conversion are ultimately applied to 25% of the total newly planted trees.
</t>
      </text>
    </comment>
    <comment ref="C111" authorId="11" shapeId="0" xr:uid="{9E5B5447-B488-4009-A158-41C07121638B}">
      <text>
        <t>[Threaded comment]
Your version of Excel allows you to read this threaded comment; however, any edits to it will get removed if the file is opened in a newer version of Excel. Learn more: https://go.microsoft.com/fwlink/?linkid=870924
Comment:
    Model assumes that saving contributions are annually adjusted to inflation rates</t>
      </text>
    </comment>
    <comment ref="J114" authorId="12" shapeId="0" xr:uid="{DF773D7A-CDD1-45AB-B506-F5AD286D1788}">
      <text>
        <t>[Threaded comment]
Your version of Excel allows you to read this threaded comment; however, any edits to it will get removed if the file is opened in a newer version of Excel. Learn more: https://go.microsoft.com/fwlink/?linkid=870924
Comment:
    From this point onwards loan HH recieving loans exceeds membership (either loan amount increases or the funds are not fully used -&gt; overestimation of impact)</t>
      </text>
    </comment>
    <comment ref="B122" authorId="13" shapeId="0" xr:uid="{C659853F-A28E-4885-83C0-5B658B1A8E1B}">
      <text>
        <t>[Threaded comment]
Your version of Excel allows you to read this threaded comment; however, any edits to it will get removed if the file is opened in a newer version of Excel. Learn more: https://go.microsoft.com/fwlink/?linkid=870924
Comment:
    Accounting for TA size</t>
      </text>
    </comment>
    <comment ref="B146" authorId="14" shapeId="0" xr:uid="{F97081A5-4CB7-4174-8319-5468E945313C}">
      <text>
        <t>[Threaded comment]
Your version of Excel allows you to read this threaded comment; however, any edits to it will get removed if the file is opened in a newer version of Excel. Learn more: https://go.microsoft.com/fwlink/?linkid=870924
Comment:
    Average accounting for TA size</t>
      </text>
    </comment>
    <comment ref="C148" authorId="15" shapeId="0" xr:uid="{B0F3303E-9F67-472D-8925-0841C5347BD2}">
      <text>
        <t xml:space="preserve">[Threaded comment]
Your version of Excel allows you to read this threaded comment; however, any edits to it will get removed if the file is opened in a newer version of Excel. Learn more: https://go.microsoft.com/fwlink/?linkid=870924
Comment:
    If median annual household income is used the relative increase in household income is ~ 15%; Consumption is used as the primary benchmark as it better reflects living standards and is less sensitive to income underreporting.  </t>
      </text>
    </comment>
    <comment ref="F177" authorId="16" shapeId="0" xr:uid="{02E3D70E-218D-4252-9238-46808DA4E21D}">
      <text>
        <t>[Threaded comment]
Your version of Excel allows you to read this threaded comment; however, any edits to it will get removed if the file is opened in a newer version of Excel. Learn more: https://go.microsoft.com/fwlink/?linkid=870924
Comment:
    DGR01 Budget includes 20% indirect costs</t>
      </text>
    </comment>
  </commentList>
</comments>
</file>

<file path=xl/sharedStrings.xml><?xml version="1.0" encoding="utf-8"?>
<sst xmlns="http://schemas.openxmlformats.org/spreadsheetml/2006/main" count="475" uniqueCount="288">
  <si>
    <t>HWG Impact Model:</t>
  </si>
  <si>
    <t>Improving Incomes of Coffee Farmers</t>
  </si>
  <si>
    <t>Overview</t>
  </si>
  <si>
    <t>Project name</t>
  </si>
  <si>
    <t>Improving Incomes of Coffee Farmers (IICoF)</t>
  </si>
  <si>
    <t>Implementing partner</t>
  </si>
  <si>
    <t>Digital Green</t>
  </si>
  <si>
    <t>Evaluation partner</t>
  </si>
  <si>
    <t>IFPRI</t>
  </si>
  <si>
    <t>Project country</t>
  </si>
  <si>
    <t>Ethiopia</t>
  </si>
  <si>
    <t>Project region</t>
  </si>
  <si>
    <t>Jimma</t>
  </si>
  <si>
    <t>Project duration</t>
  </si>
  <si>
    <t>07/2023 - 12/2027</t>
  </si>
  <si>
    <t>Objective</t>
  </si>
  <si>
    <t>1) improve coffee and maize productivity, 2) diversify income sources</t>
  </si>
  <si>
    <t>Budget (2025 nominal EUR)</t>
  </si>
  <si>
    <t>Budget excl. credit component</t>
  </si>
  <si>
    <t>Outreach</t>
  </si>
  <si>
    <t>households</t>
  </si>
  <si>
    <t>Date of Analysis / Version</t>
  </si>
  <si>
    <t>v3</t>
  </si>
  <si>
    <t>Author</t>
  </si>
  <si>
    <t>Marlene Gutiérrez</t>
  </si>
  <si>
    <t>SROI</t>
  </si>
  <si>
    <r>
      <t xml:space="preserve">Total SROI
</t>
    </r>
    <r>
      <rPr>
        <sz val="10"/>
        <color theme="1"/>
        <rFont val="Pero ExtraBold"/>
        <family val="2"/>
      </rPr>
      <t>(10 year time frame)</t>
    </r>
  </si>
  <si>
    <t>Type</t>
  </si>
  <si>
    <t>Forecast</t>
  </si>
  <si>
    <t>Level of certainty*</t>
  </si>
  <si>
    <t>Low</t>
  </si>
  <si>
    <t>Data Source of model assumptions</t>
  </si>
  <si>
    <t>DG IICoF Baseline report</t>
  </si>
  <si>
    <t>SROI thresholds</t>
  </si>
  <si>
    <r>
      <t>Sensitivity Analysis</t>
    </r>
    <r>
      <rPr>
        <sz val="10"/>
        <color theme="1"/>
        <rFont val="Pero ExtraBold"/>
        <family val="2"/>
      </rPr>
      <t xml:space="preserve"> 
(most influential parameter set)</t>
    </r>
  </si>
  <si>
    <t>Yield benefit of stumping (assumption realization rate of TNS model)  + Coffee Price Change</t>
  </si>
  <si>
    <t>Conservative SROI</t>
  </si>
  <si>
    <t>Optimistic SROI</t>
  </si>
  <si>
    <t>Details of HWG Evaluation (IICoF Project)</t>
  </si>
  <si>
    <t>Evaluation methodology</t>
  </si>
  <si>
    <t>Randomized study design (RCT) with 4 treatment arms: TA1) coffee video-based extension (VBE); TA2) coffee VBE + corn VBE; TA3) coffee VBE + corn VBE + Tool library; TA4) coffee VBE + corn VBE + Tool library + WSHG</t>
  </si>
  <si>
    <t>Primary outcome</t>
  </si>
  <si>
    <t>Increase in income measured as consumption expenditure</t>
  </si>
  <si>
    <t>Income measurement</t>
  </si>
  <si>
    <t>Measured via consumption module</t>
  </si>
  <si>
    <t>Sample size</t>
  </si>
  <si>
    <t>3000 (500 per treatment arm + 500 in pure control Kebeles)</t>
  </si>
  <si>
    <t>Study population</t>
  </si>
  <si>
    <t>Coffee-cultivating households that are members in Development Groups (GDs) and reside in project kebeles</t>
  </si>
  <si>
    <t>Methodological rigor*</t>
  </si>
  <si>
    <t>Excellent</t>
  </si>
  <si>
    <t xml:space="preserve">Findings on other outcomes </t>
  </si>
  <si>
    <t>Savings</t>
  </si>
  <si>
    <t>Midline results expected Q2 2026</t>
  </si>
  <si>
    <t>Financial shocks</t>
  </si>
  <si>
    <t>Food security</t>
  </si>
  <si>
    <t>Present Value vs Costs</t>
  </si>
  <si>
    <t>Average (accounting for TA size)</t>
  </si>
  <si>
    <t>TA1</t>
  </si>
  <si>
    <t>TA2</t>
  </si>
  <si>
    <t>TA3 and 4</t>
  </si>
  <si>
    <t>Costs per HH</t>
  </si>
  <si>
    <t>Coffee BP</t>
  </si>
  <si>
    <t>PV per HH combined</t>
  </si>
  <si>
    <t>Coffee Stumping</t>
  </si>
  <si>
    <t>NPV per HH</t>
  </si>
  <si>
    <t>Coffee Planting</t>
  </si>
  <si>
    <t>Maize BP</t>
  </si>
  <si>
    <t>WSHG</t>
  </si>
  <si>
    <t>Project Costs discounted (in 2021 EUR)</t>
  </si>
  <si>
    <t>Present Value (in 2021 EUR)</t>
  </si>
  <si>
    <t>Net Present Value (in 2021 EUR)</t>
  </si>
  <si>
    <t>* Definitions see tab "Info"</t>
  </si>
  <si>
    <t>1) Critical model assumptions and household/farm characteristics</t>
  </si>
  <si>
    <t>Discount rate*</t>
  </si>
  <si>
    <t>Non-implementation costs share</t>
  </si>
  <si>
    <t>Coffee Price Change</t>
  </si>
  <si>
    <t xml:space="preserve">Unstumped yield (assumption realization rate of TNS model) </t>
  </si>
  <si>
    <t xml:space="preserve">Yield benefit of stumping*  (assumption realization rate of TNS model) </t>
  </si>
  <si>
    <t>Coffee</t>
  </si>
  <si>
    <t>Assumption</t>
  </si>
  <si>
    <t>Value</t>
  </si>
  <si>
    <t>Source</t>
  </si>
  <si>
    <t>Link</t>
  </si>
  <si>
    <t>Notes</t>
  </si>
  <si>
    <t>Average Coffee Farm Size (ha)</t>
  </si>
  <si>
    <t>Baseline, p.25</t>
  </si>
  <si>
    <t>Digital Green IICoF Baseline Report</t>
  </si>
  <si>
    <t xml:space="preserve"> </t>
  </si>
  <si>
    <t>Average coffee cherry production per Hectare (kg)</t>
  </si>
  <si>
    <t xml:space="preserve">Baseline p. 27 </t>
  </si>
  <si>
    <t>Value reported as Green Bean Equivalent: 348kg GBE converted to cherry by multiplication factor of 5</t>
  </si>
  <si>
    <t>Median number of productive coffee trees per ha</t>
  </si>
  <si>
    <t>HWG own calculation from DG Baseline Dataset Jimma_coffee_plot_roster (excludig control Kebeles)</t>
  </si>
  <si>
    <t>Yield increase HH adoption 50% BP</t>
  </si>
  <si>
    <t>Yield increase HH adoption 1 BP</t>
  </si>
  <si>
    <t>Maize</t>
  </si>
  <si>
    <t>Assumptions</t>
  </si>
  <si>
    <t>Average Maize Farm Size (ha)</t>
  </si>
  <si>
    <t>Baseline p.25</t>
  </si>
  <si>
    <t>Average maize production per Hectare (kg)</t>
  </si>
  <si>
    <t xml:space="preserve">Baseline p.34 </t>
  </si>
  <si>
    <t>Costs of production per kg (in real 2023 ETB)</t>
  </si>
  <si>
    <t>DG (assumption)</t>
  </si>
  <si>
    <t>According to DG the cost for maize input (seed + fertilizer) is ETB 10000/0.5 ha</t>
  </si>
  <si>
    <t>Coffee Seedling Planting</t>
  </si>
  <si>
    <t>Survival Rate</t>
  </si>
  <si>
    <t>Assumption based on Study conducted in Sidama</t>
  </si>
  <si>
    <t>Assessment of the Distribution and Performance of Specialty Improved Coffee Technology in Sidama Region and Gedeo Zone Southern, Ethiopia</t>
  </si>
  <si>
    <t>A study in Godeo and Sidama finds avrg. &gt; 93% survival rate across districts, we apply more conservative rates as the study was not conducted in Jimma and minimum survival rates ranged to ~ 25%. These values need to be updated based on data from Jimma Zone</t>
  </si>
  <si>
    <t>Cost per Seedling (in real 2023 ETB)</t>
  </si>
  <si>
    <t>DG monitoring data and fiel visit visit discussions march 2024</t>
  </si>
  <si>
    <t>Field report and monitoring data: HH Nurseries: 15 ETB / seedling (polybag) and 10 ETB / seedling (bare root). Government is distributing at lower price (5-10 Birr). 
A high share of seedlings are distirbuted free of charge (by Q3 2025 ~ 60%)</t>
  </si>
  <si>
    <t>Coffee Trees per Ha</t>
  </si>
  <si>
    <t>Baseline data</t>
  </si>
  <si>
    <t>Average baseline plot data (HWG calculation)</t>
  </si>
  <si>
    <t>Project-attributable planting/replanting share</t>
  </si>
  <si>
    <t>HWG (assumption)</t>
  </si>
  <si>
    <t>Share of farmers who would not have replanted coffee without the project</t>
  </si>
  <si>
    <t>Saving per person and month into economic fund (in real 2023 ETB)</t>
  </si>
  <si>
    <t>per month</t>
  </si>
  <si>
    <t>Average loan amount (in real 2023 ETB)</t>
  </si>
  <si>
    <t>DG</t>
  </si>
  <si>
    <t>Average service charge per loan</t>
  </si>
  <si>
    <t>Average loan period (months)</t>
  </si>
  <si>
    <t>Credit default</t>
  </si>
  <si>
    <t>Share of actively saving members</t>
  </si>
  <si>
    <t>Share of fund in active lending</t>
  </si>
  <si>
    <t>Average ROI from loan</t>
  </si>
  <si>
    <t>Income at Baseline</t>
  </si>
  <si>
    <t>Annual HH consumption in nominal 2023 ETB</t>
  </si>
  <si>
    <t>Baseline p. 55 (only average)</t>
  </si>
  <si>
    <t>74,26*365*5 (Median Daily Per Capita Consumption Jimma Coffee Farmers = 74,26 ETB ; Averg. HH size =5; Calculated from DG Baseline Dataset Jimma_Coff_consumption_aggregate.dta</t>
  </si>
  <si>
    <t>Annual HH income (in nominal 2023 ETB)</t>
  </si>
  <si>
    <t>Baseline p.38</t>
  </si>
  <si>
    <t>2) Number of HHs reached</t>
  </si>
  <si>
    <t>Planned</t>
  </si>
  <si>
    <t>Actual</t>
  </si>
  <si>
    <t>Total</t>
  </si>
  <si>
    <t>Tool Library</t>
  </si>
  <si>
    <t>3) Incremental Cash-flows HH level</t>
  </si>
  <si>
    <t>Year</t>
  </si>
  <si>
    <t>Coffee - GAP adoption</t>
  </si>
  <si>
    <t>Share HH adoption 1 BP</t>
  </si>
  <si>
    <t>-</t>
  </si>
  <si>
    <t>Share HH adoption 50% BP</t>
  </si>
  <si>
    <t xml:space="preserve">Yield benefit (kg cherry) </t>
  </si>
  <si>
    <t xml:space="preserve">Harvest Labor additional </t>
  </si>
  <si>
    <t>Harvest Cost additional  (in real 2023 ETB)</t>
  </si>
  <si>
    <t>Additional revenue   (in real 2023 ETB)</t>
  </si>
  <si>
    <t>Additional profit  (in real 2023 ETB)</t>
  </si>
  <si>
    <t>Additional profit , discounted (in real 2023 ETB)</t>
  </si>
  <si>
    <t>Additional profit , discounted (in real 2021 ETB)</t>
  </si>
  <si>
    <t>Stumping yield impact</t>
  </si>
  <si>
    <t>Additional profit, discounted (in real 2021 EUR)</t>
  </si>
  <si>
    <t>Coffee - Stumping</t>
  </si>
  <si>
    <t>Share of HH that stumped</t>
  </si>
  <si>
    <t>Year 1</t>
  </si>
  <si>
    <t>Number of Trees stumped (if stumped)</t>
  </si>
  <si>
    <t>Year 2</t>
  </si>
  <si>
    <t xml:space="preserve">Number of trees stumped </t>
  </si>
  <si>
    <t>Year 3</t>
  </si>
  <si>
    <t>Yield benefit (kg cherry)</t>
  </si>
  <si>
    <t>Year 4</t>
  </si>
  <si>
    <t xml:space="preserve">Labor additional </t>
  </si>
  <si>
    <t>Year 5</t>
  </si>
  <si>
    <t>Labor Costs additional  (in real 2023 ETB)</t>
  </si>
  <si>
    <t>Year 6</t>
  </si>
  <si>
    <t>Year 7</t>
  </si>
  <si>
    <t>Additional profit , dicounted (in real 2023 ETB)</t>
  </si>
  <si>
    <t>Year 8</t>
  </si>
  <si>
    <t>Year 9</t>
  </si>
  <si>
    <t>Yield difference (kg fresh cherry per hh)</t>
  </si>
  <si>
    <t>Coffee - Planting/ Replanting</t>
  </si>
  <si>
    <t>Share of HH planting new coffee seedlings</t>
  </si>
  <si>
    <t>(Re)planting yield impact (no counterfactual)</t>
  </si>
  <si>
    <t>Average Number of Seedlings Procured per HH</t>
  </si>
  <si>
    <t>Average number of Seedlings Survived</t>
  </si>
  <si>
    <t>Average number of seedlings per HH</t>
  </si>
  <si>
    <t>Yield benefit no counterfactual (kg cherry)</t>
  </si>
  <si>
    <t>Yield benefit counterfactual (kg cherry)</t>
  </si>
  <si>
    <t>Seedlings costs</t>
  </si>
  <si>
    <t>Labor days</t>
  </si>
  <si>
    <t>Labor cost  (in real 2023 ETB)</t>
  </si>
  <si>
    <t>Additional coffee revenue  (in real 2023 ETB)</t>
  </si>
  <si>
    <t xml:space="preserve">Maize yield loss </t>
  </si>
  <si>
    <t>Maize profit loss</t>
  </si>
  <si>
    <t>(Re)planting yield impact (counterfactual)</t>
  </si>
  <si>
    <t>Maize - GAP adoption</t>
  </si>
  <si>
    <t xml:space="preserve">Yield benefit (kg maize) </t>
  </si>
  <si>
    <t>Additional cost of production (in real 2023 ETB)</t>
  </si>
  <si>
    <t>Additional revenue (in real 2023 ETB)</t>
  </si>
  <si>
    <t>Additional profit (in real 2023 ETB)</t>
  </si>
  <si>
    <t>Women Self-help Groups (WSHG)</t>
  </si>
  <si>
    <t>Number of organized members</t>
  </si>
  <si>
    <t>Share of hh with organized members</t>
  </si>
  <si>
    <t>Savings mobilized by SHGs (in real 2023 ETB)</t>
  </si>
  <si>
    <t>Fund contributionproject (in real 2023 ETB)</t>
  </si>
  <si>
    <t>Loan value disbursed by SHGs to members for IGAs (in real 2023 ETB)</t>
  </si>
  <si>
    <t>Return on investment of loans (in real 2023 ETB)</t>
  </si>
  <si>
    <t>HH Recieving loan</t>
  </si>
  <si>
    <t>Loan service charge (in real 2023 ETB)</t>
  </si>
  <si>
    <t>Additional net income for all WSHG HHs  (in real 2023 ETB)</t>
  </si>
  <si>
    <t>Additional income per HH (in real 2023 ETB)</t>
  </si>
  <si>
    <t>Additional income per HH, discounted (in real 2021 ETB)</t>
  </si>
  <si>
    <t>Additonal income per HH, discounted (in real 2021 EUR)</t>
  </si>
  <si>
    <t>4) Incremental cash-flow total project discounted</t>
  </si>
  <si>
    <t>Incremental Cash-flow EUR, discounted (in real 2021 EUR)</t>
  </si>
  <si>
    <t xml:space="preserve">5) Project Costs </t>
  </si>
  <si>
    <t>Project Costs (in nominal EUR)</t>
  </si>
  <si>
    <t>Project Costs (in real 2023 EUR)</t>
  </si>
  <si>
    <t>Project Costs, discounted (in real 2023 EUR)</t>
  </si>
  <si>
    <t>Project Cost, discounted (in real 2021 EUR)</t>
  </si>
  <si>
    <t>Project costs discounted (in 2021 EUR)</t>
  </si>
  <si>
    <t xml:space="preserve">Costs per HH discounted (in real 2021 EUR) </t>
  </si>
  <si>
    <t>6) Present Value (in 2021 EUR)</t>
  </si>
  <si>
    <t xml:space="preserve">Present Value (in real 2021 EUR) </t>
  </si>
  <si>
    <t xml:space="preserve">Total Project Net Present Value (in real 2021 EUR) </t>
  </si>
  <si>
    <t xml:space="preserve">Present Value per HH  (in real 2021 EUR) </t>
  </si>
  <si>
    <t xml:space="preserve">Net Present Value per HH (in real 2021 EUR) </t>
  </si>
  <si>
    <t>Relative increase in HH income</t>
  </si>
  <si>
    <t>7) Project SROI</t>
  </si>
  <si>
    <t>Social Return on Investment (SROI)</t>
  </si>
  <si>
    <t>SROI = Total Benefits/ Project Costs</t>
  </si>
  <si>
    <t>8) Sensitivity Analysis</t>
  </si>
  <si>
    <t>General</t>
  </si>
  <si>
    <t>Discount rate</t>
  </si>
  <si>
    <t>Estimated  Coffee yield impact of 50% BP adoption</t>
  </si>
  <si>
    <t># of HHs reached coffee</t>
  </si>
  <si>
    <t>Maximum share of housheolds adopting 50% BP</t>
  </si>
  <si>
    <t>Average coffee price change</t>
  </si>
  <si>
    <t>Non-implementation cost share</t>
  </si>
  <si>
    <t xml:space="preserve">Yield benefit of stumping  (assumption realization rate of TNS model) </t>
  </si>
  <si>
    <t>Project-attributable planting/ replanting share</t>
  </si>
  <si>
    <t>50% BP adoption Maize yield impact</t>
  </si>
  <si>
    <t>WSHG Return</t>
  </si>
  <si>
    <t>Fields marked in light red show when the component has no affect on SROI anymore.</t>
  </si>
  <si>
    <t>1) Details of the Analysis</t>
  </si>
  <si>
    <t>Impact Measure*</t>
  </si>
  <si>
    <t>Additional net income (profit) generated</t>
  </si>
  <si>
    <t>Cell shading indicates data confidence</t>
  </si>
  <si>
    <t>Base year</t>
  </si>
  <si>
    <t>Substantiated — supported by credible empirical source</t>
  </si>
  <si>
    <t>Year of Analysis</t>
  </si>
  <si>
    <t>Uncertain — based on limited data, proxy, or forecast assumption</t>
  </si>
  <si>
    <t>Year of Analysis Currency</t>
  </si>
  <si>
    <t>2021 EUR</t>
  </si>
  <si>
    <t>2) Assumptions Used in the Analysis</t>
  </si>
  <si>
    <t>linear decay in farmers' practice adoption*</t>
  </si>
  <si>
    <t>Source: IPE Triple Line, 2017</t>
  </si>
  <si>
    <t>Production costs</t>
  </si>
  <si>
    <t>kg coffee cherries harvested per day</t>
  </si>
  <si>
    <t>Person Days for stumping 1 tree</t>
  </si>
  <si>
    <t>Person Days for planting 1 tree</t>
  </si>
  <si>
    <t>Source: Expert model (available on request)</t>
  </si>
  <si>
    <t>Daily rate per laborer (in nominal ETB)</t>
  </si>
  <si>
    <t xml:space="preserve">,  , . </t>
  </si>
  <si>
    <t>Daily rate per laborer (in real 2023 ETB)</t>
  </si>
  <si>
    <t>Daily rate per laborer (in rea 2021 ETB)</t>
  </si>
  <si>
    <t>Yield benefit of  stumping*</t>
  </si>
  <si>
    <t>Year 1 (Stumping)</t>
  </si>
  <si>
    <t xml:space="preserve">Year 2 </t>
  </si>
  <si>
    <t>Stumped yield (kg fresh cherry/tree)</t>
  </si>
  <si>
    <t>Unstumped yield (kg fresh cherry/tree)</t>
  </si>
  <si>
    <t>Difference</t>
  </si>
  <si>
    <t>Source: Data available upon request</t>
  </si>
  <si>
    <t>Yield benefit of replanting*</t>
  </si>
  <si>
    <t>Yield (kg fresh cherry/tree)</t>
  </si>
  <si>
    <t>Yield difference replanting (kg fresh cherry/tree)</t>
  </si>
  <si>
    <t>Source: Diro and Erko, 2019</t>
  </si>
  <si>
    <t>Prices</t>
  </si>
  <si>
    <t>Coffee Price (kg fresh cherry) (in nominal ETB)</t>
  </si>
  <si>
    <t>Coffee Price (kg fresh cherry) (in real 2023 ETB)</t>
  </si>
  <si>
    <t>Coffee Price (kg fresh cherry) (in real 2021 ETB)</t>
  </si>
  <si>
    <t>Maize Price (kg) (in nominal ETB)</t>
  </si>
  <si>
    <t>Maize Price (kg) (in real 2023 ETB)</t>
  </si>
  <si>
    <t>Maize Price (kg) (in real 2021 ETB)</t>
  </si>
  <si>
    <t>3) External paramters used in the analysis</t>
  </si>
  <si>
    <t>Inflation*</t>
  </si>
  <si>
    <t>Ethiopia (GDP deflator; base year=2015/2016)</t>
  </si>
  <si>
    <t>Germany (GDP deflator; base year=2015/2016)</t>
  </si>
  <si>
    <t xml:space="preserve">Source: IMF GDP deflator </t>
  </si>
  <si>
    <t>Exchange rates</t>
  </si>
  <si>
    <t>Ex ETB_EUR</t>
  </si>
  <si>
    <t>Source: exchange-rate.org (2021 Average)</t>
  </si>
  <si>
    <t>1) Improving Incomes of Coffee Farmers (IICoF) Theory of Change</t>
  </si>
  <si>
    <t>2) HereWeGrow Impact Map</t>
  </si>
  <si>
    <r>
      <t xml:space="preserve">The sensitivity analysis examines how varying key assumptions on adoption rates, coffee and maize yields, coffee prices, planting shares, and WSHG lending activity affect the SROI. The base case yields an SROI of 7,5  calculated at a 10% discount rate, 20% non-implementation cost-share, with a 25% maximum HH adoption rate for Best Practices, 100% realisation of TNS yield benefit estimates, an average coffee price based on a five-year projection, a 50% project-attributable planting/replanting share, and a 95% share of WSHG funds in active lending.
</t>
    </r>
    <r>
      <rPr>
        <b/>
        <sz val="11"/>
        <color theme="1"/>
        <rFont val="Pero"/>
        <family val="2"/>
      </rPr>
      <t>General</t>
    </r>
    <r>
      <rPr>
        <sz val="11"/>
        <color theme="1"/>
        <rFont val="Pero"/>
        <family val="2"/>
      </rPr>
      <t xml:space="preserve">
</t>
    </r>
    <r>
      <rPr>
        <b/>
        <sz val="11"/>
        <color theme="1"/>
        <rFont val="Pero"/>
        <family val="2"/>
      </rPr>
      <t xml:space="preserve">Discount rate and HH reached: </t>
    </r>
    <r>
      <rPr>
        <sz val="11"/>
        <color theme="1"/>
        <rFont val="Pero"/>
        <family val="2"/>
      </rPr>
      <t xml:space="preserve">The discount rate has a consistent influence on the SROI which ranges from 12,2  at a 0% discount rate to 4,9 at a 20% discount rate. The number of households reached is likewise a significant driver of the SROI, which moves broadly in line with outreach: if only half of the targeted households are reached, the SROI would nearly half accordingly. 
</t>
    </r>
    <r>
      <rPr>
        <b/>
        <sz val="11"/>
        <color theme="1"/>
        <rFont val="Pero"/>
        <family val="2"/>
      </rPr>
      <t>Non-implementation cost share:</t>
    </r>
    <r>
      <rPr>
        <sz val="11"/>
        <color theme="1"/>
        <rFont val="Pero"/>
        <family val="2"/>
      </rPr>
      <t xml:space="preserve"> Across the full range of cost share assumptions (0%–20%), the SROI at the base case 10% discount rate moves between 6,4 (0% cost share) and 7.7 (20% cost share). The cost allocation assumption has a moderate effect compared to other drivers.
</t>
    </r>
    <r>
      <rPr>
        <b/>
        <sz val="11"/>
        <color theme="1"/>
        <rFont val="Pero"/>
        <family val="2"/>
      </rPr>
      <t>Maize</t>
    </r>
    <r>
      <rPr>
        <sz val="11"/>
        <color theme="1"/>
        <rFont val="Pero"/>
        <family val="2"/>
      </rPr>
      <t xml:space="preserve">
</t>
    </r>
    <r>
      <rPr>
        <b/>
        <sz val="11"/>
        <color theme="1"/>
        <rFont val="Pero"/>
        <family val="2"/>
      </rPr>
      <t>Adoption of 50% BP and yield impact</t>
    </r>
    <r>
      <rPr>
        <sz val="11"/>
        <color theme="1"/>
        <rFont val="Pero"/>
        <family val="2"/>
      </rPr>
      <t xml:space="preserve">: Maize yield gains from 50% BP adoption at current assumptions provide only a minor contribution to the SROI. At 0% adoption, the SROI is 7,4 regardless of yield impact. At 80% adoption and a 30% yield gain - an unlikely scnerario - the SROI could reach up to 9,8. 
</t>
    </r>
    <r>
      <rPr>
        <b/>
        <sz val="11"/>
        <color theme="1"/>
        <rFont val="Pero"/>
        <family val="2"/>
      </rPr>
      <t>WSHG</t>
    </r>
    <r>
      <rPr>
        <sz val="11"/>
        <color theme="1"/>
        <rFont val="Pero"/>
        <family val="2"/>
      </rPr>
      <t xml:space="preserve">
</t>
    </r>
    <r>
      <rPr>
        <b/>
        <sz val="11"/>
        <color theme="1"/>
        <rFont val="Pero"/>
        <family val="2"/>
      </rPr>
      <t>Share of fund in active lending:</t>
    </r>
    <r>
      <rPr>
        <sz val="11"/>
        <color theme="1"/>
        <rFont val="Pero"/>
        <family val="2"/>
      </rPr>
      <t xml:space="preserve"> The share of WSHG funds in active lending has a limited but consistent influence on the SROI. Across the full range of average ROI from loans (10%–45%) and lending activity (40%–100%), the SROI moves between 7,2 and 8,0. The WSHG component reaches with 5300 the smallest number of HHs. Would the component size be higher the affect on overall SROI is more substantial as the estimated income gains make up 25% of the overall income increase in TA4.
</t>
    </r>
    <r>
      <rPr>
        <b/>
        <sz val="11"/>
        <color theme="1"/>
        <rFont val="Pero"/>
        <family val="2"/>
      </rPr>
      <t>Coffee</t>
    </r>
    <r>
      <rPr>
        <sz val="11"/>
        <color theme="1"/>
        <rFont val="Pero"/>
        <family val="2"/>
      </rPr>
      <t xml:space="preserve">
</t>
    </r>
    <r>
      <rPr>
        <b/>
        <sz val="11"/>
        <color theme="1"/>
        <rFont val="Pero"/>
        <family val="2"/>
      </rPr>
      <t>Adoption of 50% BP and yield impact:</t>
    </r>
    <r>
      <rPr>
        <sz val="11"/>
        <color theme="1"/>
        <rFont val="Pero"/>
        <family val="2"/>
      </rPr>
      <t xml:space="preserve"> The maximum share of HHs adopting Best Practices is a significant driver of the SROI when combined with strong yield gains. At 0% adoption, the SROI holds at 6,3 regardless of the estimated yield impact from 50% BP adoption. As adoption rises to 80% and the yield impact reaches 30%, the SROI increases to 9,9. Given the intervention is a soft-touch video training this scenario is rather unlikely. 
</t>
    </r>
    <r>
      <rPr>
        <b/>
        <sz val="11"/>
        <color theme="1"/>
        <rFont val="Pero"/>
        <family val="2"/>
      </rPr>
      <t xml:space="preserve">Coffee price development: </t>
    </r>
    <r>
      <rPr>
        <sz val="11"/>
        <color theme="1"/>
        <rFont val="Pero"/>
        <family val="2"/>
      </rPr>
      <t xml:space="preserve">Average coffee price changes have a direct and substantial influence on the SROI. At the base case of 100% realisation of TNS yield benefit estimates, the SROI ranges from 4,4 at a −30% price change to 10,7 at a +30% price change. At lower benefit realisation levels (e.g. 40%), the SROI moves between 2,8 and 7,0 across the same price range. The project remains above breakeven across all tested scenarios.
</t>
    </r>
    <r>
      <rPr>
        <b/>
        <sz val="11"/>
        <color theme="1"/>
        <rFont val="Pero"/>
        <family val="2"/>
      </rPr>
      <t>Project-attributable planting and replanting share:</t>
    </r>
    <r>
      <rPr>
        <sz val="11"/>
        <color theme="1"/>
        <rFont val="Pero"/>
        <family val="2"/>
      </rPr>
      <t xml:space="preserve"> The share of planting and replanting activity attributable to the project has a moderate influence on the SROI. At the base case of 100% realisation of TNS yield benefits, the SROI ranges from 5,9 (20% planting share) to 10,7 (80% planting share). At lower realisation levels, the sensitivity is dampened: at 40% realisation, the range narrows to 3,9-5,4. This underlines the high sensitivity to uncertain assumptions in the model.
</t>
    </r>
    <r>
      <rPr>
        <b/>
        <sz val="11"/>
        <color theme="1"/>
        <rFont val="Pero"/>
        <family val="2"/>
      </rPr>
      <t xml:space="preserve">Prospective yields of unstumped and stumped trees: </t>
    </r>
    <r>
      <rPr>
        <sz val="11"/>
        <color theme="1"/>
        <rFont val="Pero"/>
        <family val="2"/>
      </rPr>
      <t xml:space="preserve">The yield assumptions for unstumped and stumped trees are among the most critical drivers of the SROI. The SROI of 7,7 in the base case (100% stumping benefit realisation, 100% of TNS unstumped yield estimate) drops to 3,3 when only 40% of the TNS yield benefit is realised against a 40% unstumped yield baseline. A lower unstumped baseline substantially reduces the relative gain from stumping, decreasing the SROI, while a higher unstumped baseline increases it. These two parameters should therefore be subject to careful field validation.
Overall, the sensitivity analysis confirms that the programme is robust: even under conservative assumptions across all components, the SROI remains comfortably above 1. The SROI is most sensitive to the coffee yield assumptions — both the prospective yields of unstumped and stumped trees and the realisation of TNS benefit estimates — as well as to coffee price development and BP adoption rates.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</si>
</sst>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_-;\-* #,##0_-;_-* &quot;-&quot;??_-;_-@_-"/>
    <numFmt numFmtId="165" formatCode="_-* #,##0.00\ [$€-407]_-;\-* #,##0.00\ [$€-407]_-;_-* &quot;-&quot;??\ [$€-407]_-;_-@_-"/>
    <numFmt numFmtId="166" formatCode="0.0"/>
    <numFmt numFmtId="167" formatCode="#,##0.0"/>
    <numFmt numFmtId="168" formatCode="0.0%"/>
    <numFmt numFmtId="169" formatCode="_-* #,##0\ [$€-407]_-;\-* #,##0\ [$€-407]_-;_-* &quot;-&quot;\ [$€-407]_-;_-@_-"/>
    <numFmt numFmtId="170" formatCode="#,##0\ [$ETB]"/>
    <numFmt numFmtId="171" formatCode="0.000"/>
    <numFmt numFmtId="172" formatCode="#,##0.00\ [$ETB];\-#,##0.00\ [$ETB]"/>
    <numFmt numFmtId="173" formatCode="#,##0_ ;\-#,##0\ "/>
    <numFmt numFmtId="174" formatCode="#,##0\ [$€-407];\-#,##0\ [$€-407]"/>
    <numFmt numFmtId="175" formatCode="#,##0\ &quot;€&quot;"/>
    <numFmt numFmtId="176" formatCode="#,##0.0_ ;\-#,##0.0\ "/>
    <numFmt numFmtId="177" formatCode="#,##0\ _€"/>
    <numFmt numFmtId="178" formatCode="0.0000"/>
  </numFmts>
  <fonts count="50" x14ac:knownFonts="1">
    <font>
      <sz val="11"/>
      <color theme="1"/>
      <name val="Calibri"/>
      <family val="2"/>
      <scheme val="minor"/>
    </font>
    <font>
      <sz val="11"/>
      <color theme="1"/>
      <name val="Pero"/>
      <family val="2"/>
    </font>
    <font>
      <sz val="11"/>
      <color theme="1"/>
      <name val="Pero"/>
      <family val="2"/>
    </font>
    <font>
      <sz val="11"/>
      <color theme="1"/>
      <name val="Calibri"/>
      <family val="2"/>
      <scheme val="minor"/>
    </font>
    <font>
      <sz val="11"/>
      <color theme="1"/>
      <name val="Pero"/>
      <family val="2"/>
    </font>
    <font>
      <u/>
      <sz val="11"/>
      <color theme="10"/>
      <name val="Calibri"/>
      <family val="2"/>
      <scheme val="minor"/>
    </font>
    <font>
      <i/>
      <sz val="11"/>
      <color theme="1"/>
      <name val="Pero"/>
      <family val="2"/>
    </font>
    <font>
      <sz val="16"/>
      <color theme="1"/>
      <name val="Pero ExtraBold"/>
      <family val="2"/>
    </font>
    <font>
      <sz val="11"/>
      <name val="Pero"/>
      <family val="2"/>
    </font>
    <font>
      <b/>
      <sz val="11"/>
      <color theme="1"/>
      <name val="Pero"/>
      <family val="2"/>
    </font>
    <font>
      <sz val="11"/>
      <color theme="1"/>
      <name val="Pero ExtraBold"/>
      <family val="2"/>
    </font>
    <font>
      <b/>
      <sz val="12"/>
      <color theme="1"/>
      <name val="Pero ExtraBold"/>
      <family val="2"/>
    </font>
    <font>
      <b/>
      <sz val="14"/>
      <color theme="1"/>
      <name val="Pero ExtraBold"/>
      <family val="2"/>
    </font>
    <font>
      <sz val="14"/>
      <color theme="1"/>
      <name val="Pero ExtraBold"/>
      <family val="2"/>
    </font>
    <font>
      <sz val="20"/>
      <color theme="1"/>
      <name val="Pero ExtraBold"/>
      <family val="2"/>
    </font>
    <font>
      <u/>
      <sz val="11"/>
      <color theme="10"/>
      <name val="Pero"/>
      <family val="2"/>
    </font>
    <font>
      <i/>
      <sz val="11"/>
      <color theme="1"/>
      <name val="Calibri"/>
      <family val="2"/>
      <scheme val="minor"/>
    </font>
    <font>
      <b/>
      <sz val="14"/>
      <color theme="1"/>
      <name val="Pero"/>
      <family val="2"/>
    </font>
    <font>
      <sz val="10"/>
      <color rgb="FF000000"/>
      <name val="Pero"/>
      <family val="2"/>
    </font>
    <font>
      <sz val="11"/>
      <color rgb="FF3F3F76"/>
      <name val="Calibri"/>
      <family val="2"/>
      <scheme val="minor"/>
    </font>
    <font>
      <sz val="11"/>
      <color indexed="8"/>
      <name val="Calibri"/>
      <family val="2"/>
    </font>
    <font>
      <b/>
      <sz val="14"/>
      <color indexed="8"/>
      <name val="Pero"/>
      <family val="2"/>
    </font>
    <font>
      <sz val="10"/>
      <color indexed="8"/>
      <name val="Pero"/>
      <family val="2"/>
    </font>
    <font>
      <sz val="11"/>
      <color indexed="8"/>
      <name val="Pero"/>
      <family val="2"/>
    </font>
    <font>
      <b/>
      <sz val="14"/>
      <color indexed="8"/>
      <name val="Calibri"/>
      <family val="2"/>
      <scheme val="minor"/>
    </font>
    <font>
      <sz val="11"/>
      <color rgb="FF3F3F76"/>
      <name val="Pero"/>
      <family val="2"/>
    </font>
    <font>
      <i/>
      <sz val="10"/>
      <color theme="1"/>
      <name val="Pero"/>
      <family val="2"/>
    </font>
    <font>
      <b/>
      <sz val="11"/>
      <color theme="1"/>
      <name val="Calibri"/>
      <family val="2"/>
      <scheme val="minor"/>
    </font>
    <font>
      <b/>
      <sz val="11"/>
      <color indexed="8"/>
      <name val="Pero"/>
      <family val="2"/>
    </font>
    <font>
      <sz val="8"/>
      <color theme="1"/>
      <name val="Pero"/>
      <family val="2"/>
    </font>
    <font>
      <sz val="11"/>
      <color rgb="FF000000"/>
      <name val="Pero"/>
      <family val="2"/>
    </font>
    <font>
      <b/>
      <sz val="16"/>
      <color indexed="8"/>
      <name val="Pero"/>
      <family val="2"/>
    </font>
    <font>
      <b/>
      <sz val="14"/>
      <color theme="0"/>
      <name val="Pero"/>
      <family val="2"/>
    </font>
    <font>
      <b/>
      <sz val="11"/>
      <color theme="1"/>
      <name val="Pero ExtraBold"/>
      <family val="2"/>
    </font>
    <font>
      <sz val="11"/>
      <color theme="0"/>
      <name val="Pero"/>
      <family val="2"/>
    </font>
    <font>
      <sz val="8"/>
      <name val="Calibri"/>
      <family val="2"/>
      <scheme val="minor"/>
    </font>
    <font>
      <sz val="10"/>
      <color theme="1"/>
      <name val="Pero"/>
      <family val="2"/>
    </font>
    <font>
      <sz val="11"/>
      <color theme="0"/>
      <name val="Calibri"/>
      <family val="2"/>
      <scheme val="minor"/>
    </font>
    <font>
      <sz val="10"/>
      <color theme="0"/>
      <name val="Pero"/>
      <family val="2"/>
    </font>
    <font>
      <sz val="12"/>
      <color theme="1"/>
      <name val="Pero"/>
      <family val="2"/>
    </font>
    <font>
      <sz val="14"/>
      <color theme="1"/>
      <name val="Calibri"/>
      <family val="2"/>
      <scheme val="minor"/>
    </font>
    <font>
      <sz val="12"/>
      <color theme="1"/>
      <name val="Pero ExtraBold"/>
      <family val="2"/>
    </font>
    <font>
      <sz val="11"/>
      <color indexed="8"/>
      <name val="Pero ExtraBold"/>
      <family val="2"/>
    </font>
    <font>
      <sz val="14"/>
      <color indexed="8"/>
      <name val="Pero ExtraBold"/>
      <family val="2"/>
    </font>
    <font>
      <sz val="11"/>
      <color rgb="FF000000"/>
      <name val="Pero ExtraBold"/>
      <family val="2"/>
    </font>
    <font>
      <sz val="10"/>
      <color theme="1"/>
      <name val="Pero ExtraBold"/>
      <family val="2"/>
    </font>
    <font>
      <sz val="11"/>
      <name val="Pero ExtraBold"/>
      <family val="2"/>
    </font>
    <font>
      <b/>
      <sz val="12"/>
      <color theme="1"/>
      <name val="Pero"/>
      <family val="2"/>
    </font>
    <font>
      <b/>
      <sz val="14"/>
      <color indexed="8"/>
      <name val="Pero ExtraBold"/>
      <family val="2"/>
    </font>
    <font>
      <sz val="10"/>
      <name val="Pero"/>
      <family val="2"/>
    </font>
  </fonts>
  <fills count="11">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C8AFBE"/>
        <bgColor indexed="64"/>
      </patternFill>
    </fill>
    <fill>
      <patternFill patternType="solid">
        <fgColor theme="0"/>
        <bgColor indexed="64"/>
      </patternFill>
    </fill>
    <fill>
      <patternFill patternType="solid">
        <fgColor rgb="FFFFCC99"/>
      </patternFill>
    </fill>
    <fill>
      <patternFill patternType="solid">
        <fgColor rgb="FFDCA591"/>
        <bgColor indexed="64"/>
      </patternFill>
    </fill>
    <fill>
      <patternFill patternType="solid">
        <fgColor theme="0" tint="-4.9989318521683403E-2"/>
        <bgColor indexed="64"/>
      </patternFill>
    </fill>
    <fill>
      <patternFill patternType="solid">
        <fgColor rgb="FFCDD2B4"/>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style="thin">
        <color theme="1" tint="0.34998626667073579"/>
      </left>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bottom/>
      <diagonal/>
    </border>
    <border>
      <left style="thin">
        <color theme="0" tint="-0.499984740745262"/>
      </left>
      <right/>
      <top style="thin">
        <color theme="0" tint="-0.499984740745262"/>
      </top>
      <bottom style="thin">
        <color theme="1" tint="0.34998626667073579"/>
      </bottom>
      <diagonal/>
    </border>
    <border>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3" fontId="3" fillId="0" borderId="0" applyFon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0" fontId="19" fillId="7" borderId="7" applyNumberFormat="0" applyAlignment="0" applyProtection="0"/>
    <xf numFmtId="0" fontId="20" fillId="0" borderId="0"/>
  </cellStyleXfs>
  <cellXfs count="347">
    <xf numFmtId="0" fontId="0" fillId="0" borderId="0" xfId="0"/>
    <xf numFmtId="0" fontId="4" fillId="0" borderId="0" xfId="0" applyFont="1"/>
    <xf numFmtId="0" fontId="9" fillId="0" borderId="0" xfId="0" applyFont="1"/>
    <xf numFmtId="0" fontId="11" fillId="5" borderId="1" xfId="0" applyFont="1" applyFill="1" applyBorder="1" applyAlignment="1">
      <alignment horizontal="left"/>
    </xf>
    <xf numFmtId="0" fontId="11" fillId="5" borderId="2" xfId="0" applyFont="1" applyFill="1" applyBorder="1" applyAlignment="1">
      <alignment horizontal="left"/>
    </xf>
    <xf numFmtId="0" fontId="0" fillId="0" borderId="1" xfId="0" applyBorder="1"/>
    <xf numFmtId="0" fontId="7" fillId="0" borderId="3" xfId="0" applyFont="1" applyBorder="1"/>
    <xf numFmtId="0" fontId="0" fillId="6" borderId="1" xfId="0" applyFill="1" applyBorder="1"/>
    <xf numFmtId="168" fontId="18" fillId="0" borderId="1" xfId="0" applyNumberFormat="1" applyFont="1" applyBorder="1" applyAlignment="1">
      <alignment horizontal="right" vertical="center" wrapText="1"/>
    </xf>
    <xf numFmtId="170" fontId="18" fillId="0" borderId="1" xfId="0" applyNumberFormat="1" applyFont="1" applyBorder="1" applyAlignment="1">
      <alignment horizontal="right" vertical="center" wrapText="1"/>
    </xf>
    <xf numFmtId="1" fontId="18" fillId="0" borderId="1" xfId="0" applyNumberFormat="1" applyFont="1" applyBorder="1" applyAlignment="1">
      <alignment horizontal="right" vertical="center" wrapText="1"/>
    </xf>
    <xf numFmtId="0" fontId="8" fillId="0" borderId="1" xfId="0" applyFont="1" applyBorder="1" applyAlignment="1">
      <alignment vertical="center"/>
    </xf>
    <xf numFmtId="0" fontId="21" fillId="4" borderId="0" xfId="5" applyFont="1" applyFill="1" applyAlignment="1">
      <alignment horizontal="left"/>
    </xf>
    <xf numFmtId="0" fontId="0" fillId="0" borderId="0" xfId="0" applyAlignment="1">
      <alignment vertical="center"/>
    </xf>
    <xf numFmtId="0" fontId="0" fillId="0" borderId="0" xfId="0" applyAlignment="1">
      <alignment horizontal="left" vertical="center"/>
    </xf>
    <xf numFmtId="0" fontId="0" fillId="0" borderId="6" xfId="0" applyBorder="1"/>
    <xf numFmtId="0" fontId="0" fillId="0" borderId="4" xfId="0" applyBorder="1"/>
    <xf numFmtId="0" fontId="21" fillId="4" borderId="4" xfId="5" applyFont="1" applyFill="1" applyBorder="1" applyAlignment="1">
      <alignment horizontal="left"/>
    </xf>
    <xf numFmtId="0" fontId="5" fillId="0" borderId="0" xfId="2" applyBorder="1" applyAlignment="1">
      <alignment horizontal="left"/>
    </xf>
    <xf numFmtId="0" fontId="21" fillId="0" borderId="0" xfId="5" applyFont="1" applyAlignment="1">
      <alignment horizontal="left"/>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0" fillId="6" borderId="12" xfId="0" applyFill="1" applyBorder="1" applyAlignment="1">
      <alignment wrapText="1"/>
    </xf>
    <xf numFmtId="0" fontId="0" fillId="6" borderId="12" xfId="0" applyFill="1" applyBorder="1"/>
    <xf numFmtId="0" fontId="0" fillId="6" borderId="13" xfId="0" applyFill="1" applyBorder="1"/>
    <xf numFmtId="0" fontId="21" fillId="6" borderId="14" xfId="5" applyFont="1" applyFill="1" applyBorder="1" applyAlignment="1">
      <alignment horizontal="left"/>
    </xf>
    <xf numFmtId="0" fontId="31" fillId="3" borderId="0" xfId="5" applyFont="1" applyFill="1" applyAlignment="1">
      <alignment horizontal="left" vertical="center"/>
    </xf>
    <xf numFmtId="0" fontId="31" fillId="3" borderId="0" xfId="5" applyFont="1" applyFill="1" applyAlignment="1">
      <alignment horizontal="center" vertical="center"/>
    </xf>
    <xf numFmtId="0" fontId="0" fillId="3" borderId="0" xfId="0" applyFill="1"/>
    <xf numFmtId="0" fontId="0" fillId="6" borderId="0" xfId="0" applyFill="1"/>
    <xf numFmtId="0" fontId="0" fillId="6" borderId="15" xfId="0" applyFill="1" applyBorder="1"/>
    <xf numFmtId="0" fontId="0" fillId="6" borderId="14" xfId="0" applyFill="1" applyBorder="1" applyAlignment="1">
      <alignment horizontal="left" vertical="center"/>
    </xf>
    <xf numFmtId="0" fontId="0" fillId="6" borderId="0" xfId="0" applyFill="1" applyAlignment="1">
      <alignment horizontal="left" vertical="center"/>
    </xf>
    <xf numFmtId="0" fontId="0" fillId="6" borderId="0" xfId="0" applyFill="1" applyAlignment="1">
      <alignment wrapText="1"/>
    </xf>
    <xf numFmtId="0" fontId="21" fillId="4" borderId="14" xfId="5" applyFont="1" applyFill="1" applyBorder="1" applyAlignment="1">
      <alignment horizontal="left" vertical="center"/>
    </xf>
    <xf numFmtId="0" fontId="21" fillId="4" borderId="0" xfId="5" applyFont="1" applyFill="1" applyAlignment="1">
      <alignment horizontal="left" wrapText="1"/>
    </xf>
    <xf numFmtId="0" fontId="0" fillId="4" borderId="0" xfId="0" applyFill="1"/>
    <xf numFmtId="0" fontId="0" fillId="4" borderId="15" xfId="0" applyFill="1" applyBorder="1"/>
    <xf numFmtId="0" fontId="21" fillId="6" borderId="0" xfId="5" applyFont="1" applyFill="1" applyAlignment="1">
      <alignment horizontal="left" vertical="center"/>
    </xf>
    <xf numFmtId="0" fontId="21" fillId="6" borderId="0" xfId="5" applyFont="1" applyFill="1" applyAlignment="1">
      <alignment horizontal="left" wrapText="1"/>
    </xf>
    <xf numFmtId="0" fontId="21" fillId="6" borderId="0" xfId="5" applyFont="1" applyFill="1" applyAlignment="1">
      <alignment horizontal="left"/>
    </xf>
    <xf numFmtId="0" fontId="28" fillId="6" borderId="16" xfId="5" applyFont="1" applyFill="1" applyBorder="1" applyAlignment="1">
      <alignment horizontal="left" vertical="center"/>
    </xf>
    <xf numFmtId="0" fontId="21" fillId="6" borderId="16" xfId="5" applyFont="1" applyFill="1" applyBorder="1" applyAlignment="1">
      <alignment horizontal="left"/>
    </xf>
    <xf numFmtId="0" fontId="9" fillId="6" borderId="16" xfId="0" applyFont="1" applyFill="1" applyBorder="1" applyAlignment="1">
      <alignment horizontal="left" vertical="center"/>
    </xf>
    <xf numFmtId="0" fontId="15" fillId="6" borderId="16" xfId="2" applyFont="1" applyFill="1" applyBorder="1"/>
    <xf numFmtId="0" fontId="5" fillId="6" borderId="16" xfId="2" applyFill="1" applyBorder="1" applyAlignment="1">
      <alignment wrapText="1"/>
    </xf>
    <xf numFmtId="0" fontId="9" fillId="6" borderId="0" xfId="0" applyFont="1" applyFill="1" applyAlignment="1">
      <alignment horizontal="left" vertical="center"/>
    </xf>
    <xf numFmtId="0" fontId="21" fillId="4" borderId="15" xfId="5" applyFont="1" applyFill="1" applyBorder="1" applyAlignment="1">
      <alignment horizontal="left"/>
    </xf>
    <xf numFmtId="0" fontId="21" fillId="6" borderId="14" xfId="5" applyFont="1" applyFill="1" applyBorder="1" applyAlignment="1">
      <alignment horizontal="left" vertical="center"/>
    </xf>
    <xf numFmtId="0" fontId="17" fillId="6" borderId="14" xfId="0" applyFont="1" applyFill="1" applyBorder="1" applyAlignment="1">
      <alignment horizontal="left" vertical="center"/>
    </xf>
    <xf numFmtId="0" fontId="9" fillId="6" borderId="14" xfId="0" applyFont="1" applyFill="1" applyBorder="1" applyAlignment="1">
      <alignment horizontal="left" vertical="center"/>
    </xf>
    <xf numFmtId="0" fontId="0" fillId="0" borderId="0" xfId="0" applyAlignment="1">
      <alignment wrapText="1"/>
    </xf>
    <xf numFmtId="0" fontId="27" fillId="6" borderId="14" xfId="0" applyFont="1" applyFill="1" applyBorder="1" applyAlignment="1">
      <alignment horizontal="left" vertical="center"/>
    </xf>
    <xf numFmtId="0" fontId="27" fillId="6" borderId="0" xfId="0" applyFont="1" applyFill="1" applyAlignment="1">
      <alignment horizontal="left" vertical="center"/>
    </xf>
    <xf numFmtId="0" fontId="0" fillId="6" borderId="0" xfId="0" applyFill="1" applyAlignment="1">
      <alignment horizontal="left"/>
    </xf>
    <xf numFmtId="174" fontId="0" fillId="0" borderId="0" xfId="0" applyNumberFormat="1"/>
    <xf numFmtId="0" fontId="0" fillId="6" borderId="14" xfId="0" applyFill="1" applyBorder="1" applyAlignment="1">
      <alignment horizontal="left"/>
    </xf>
    <xf numFmtId="169" fontId="0" fillId="0" borderId="0" xfId="0" applyNumberFormat="1" applyAlignment="1">
      <alignment horizontal="left"/>
    </xf>
    <xf numFmtId="169" fontId="0" fillId="6" borderId="0" xfId="0" applyNumberFormat="1" applyFill="1" applyAlignment="1">
      <alignment wrapText="1"/>
    </xf>
    <xf numFmtId="0" fontId="17" fillId="6" borderId="1" xfId="0" applyFont="1" applyFill="1" applyBorder="1" applyAlignment="1">
      <alignment horizontal="left"/>
    </xf>
    <xf numFmtId="175" fontId="0" fillId="6" borderId="0" xfId="0" applyNumberFormat="1" applyFill="1" applyAlignment="1">
      <alignment horizontal="left"/>
    </xf>
    <xf numFmtId="0" fontId="0" fillId="6" borderId="18" xfId="0" applyFill="1" applyBorder="1" applyAlignment="1">
      <alignment horizontal="left" vertical="center"/>
    </xf>
    <xf numFmtId="0" fontId="0" fillId="6" borderId="19" xfId="0" applyFill="1" applyBorder="1" applyAlignment="1">
      <alignment wrapText="1"/>
    </xf>
    <xf numFmtId="0" fontId="0" fillId="6" borderId="19" xfId="0" applyFill="1" applyBorder="1"/>
    <xf numFmtId="0" fontId="0" fillId="6" borderId="20" xfId="0" applyFill="1" applyBorder="1"/>
    <xf numFmtId="0" fontId="0" fillId="0" borderId="21" xfId="0" applyBorder="1"/>
    <xf numFmtId="0" fontId="0" fillId="0" borderId="8" xfId="0" applyBorder="1"/>
    <xf numFmtId="0" fontId="0" fillId="0" borderId="3" xfId="0" applyBorder="1"/>
    <xf numFmtId="0" fontId="0" fillId="0" borderId="9" xfId="0" applyBorder="1"/>
    <xf numFmtId="0" fontId="5" fillId="0" borderId="0" xfId="2" applyBorder="1"/>
    <xf numFmtId="171" fontId="22" fillId="4" borderId="21" xfId="5" applyNumberFormat="1" applyFont="1" applyFill="1" applyBorder="1" applyAlignment="1">
      <alignment horizontal="center"/>
    </xf>
    <xf numFmtId="0" fontId="22" fillId="4" borderId="21" xfId="5" applyFont="1" applyFill="1" applyBorder="1"/>
    <xf numFmtId="0" fontId="21" fillId="4" borderId="21" xfId="5" applyFont="1" applyFill="1" applyBorder="1" applyAlignment="1">
      <alignment horizontal="left"/>
    </xf>
    <xf numFmtId="0" fontId="21" fillId="4" borderId="5" xfId="5" applyFont="1" applyFill="1" applyBorder="1" applyAlignment="1">
      <alignment horizontal="left"/>
    </xf>
    <xf numFmtId="0" fontId="22" fillId="0" borderId="0" xfId="5" applyFont="1"/>
    <xf numFmtId="171" fontId="22" fillId="0" borderId="0" xfId="5" applyNumberFormat="1" applyFont="1" applyAlignment="1">
      <alignment horizontal="center"/>
    </xf>
    <xf numFmtId="0" fontId="24" fillId="4" borderId="4" xfId="5" applyFont="1" applyFill="1" applyBorder="1" applyAlignment="1">
      <alignment horizontal="left"/>
    </xf>
    <xf numFmtId="0" fontId="9" fillId="0" borderId="4" xfId="0" applyFont="1" applyBorder="1" applyAlignment="1">
      <alignment horizontal="center"/>
    </xf>
    <xf numFmtId="0" fontId="11" fillId="5" borderId="1" xfId="0" applyFont="1" applyFill="1" applyBorder="1" applyAlignment="1">
      <alignment horizontal="right"/>
    </xf>
    <xf numFmtId="0" fontId="10" fillId="0" borderId="1" xfId="0" applyFont="1" applyBorder="1"/>
    <xf numFmtId="3" fontId="10" fillId="0" borderId="1" xfId="0" applyNumberFormat="1" applyFont="1" applyBorder="1"/>
    <xf numFmtId="0" fontId="10" fillId="3" borderId="1" xfId="0" applyFont="1" applyFill="1" applyBorder="1"/>
    <xf numFmtId="164" fontId="10" fillId="3" borderId="1" xfId="0" applyNumberFormat="1" applyFont="1" applyFill="1" applyBorder="1"/>
    <xf numFmtId="0" fontId="15" fillId="0" borderId="1" xfId="2" applyFont="1" applyBorder="1" applyAlignment="1"/>
    <xf numFmtId="0" fontId="9" fillId="0" borderId="4" xfId="0" applyFont="1" applyBorder="1"/>
    <xf numFmtId="0" fontId="15" fillId="6" borderId="16" xfId="2" applyFont="1" applyFill="1" applyBorder="1" applyAlignment="1">
      <alignment wrapText="1"/>
    </xf>
    <xf numFmtId="0" fontId="36" fillId="6" borderId="16" xfId="0" applyFont="1" applyFill="1" applyBorder="1" applyAlignment="1">
      <alignment wrapText="1"/>
    </xf>
    <xf numFmtId="0" fontId="9" fillId="0" borderId="1" xfId="0" applyFont="1" applyBorder="1" applyAlignment="1">
      <alignment horizontal="right"/>
    </xf>
    <xf numFmtId="0" fontId="30" fillId="0" borderId="1" xfId="0" applyFont="1" applyBorder="1" applyAlignment="1">
      <alignment horizontal="left" vertical="center" wrapText="1"/>
    </xf>
    <xf numFmtId="0" fontId="9" fillId="6" borderId="24" xfId="0" applyFont="1" applyFill="1" applyBorder="1" applyAlignment="1">
      <alignment horizontal="left" vertical="center"/>
    </xf>
    <xf numFmtId="0" fontId="15" fillId="6" borderId="16" xfId="2" applyFont="1" applyFill="1" applyBorder="1" applyAlignment="1">
      <alignment vertical="center" wrapText="1"/>
    </xf>
    <xf numFmtId="164" fontId="6" fillId="6" borderId="0" xfId="1" applyNumberFormat="1" applyFont="1" applyFill="1" applyBorder="1" applyAlignment="1">
      <alignment horizontal="right"/>
    </xf>
    <xf numFmtId="164" fontId="0" fillId="0" borderId="0" xfId="1" applyNumberFormat="1" applyFont="1" applyFill="1" applyBorder="1"/>
    <xf numFmtId="0" fontId="0" fillId="0" borderId="25" xfId="0" applyBorder="1"/>
    <xf numFmtId="171" fontId="22" fillId="4" borderId="0" xfId="5" applyNumberFormat="1" applyFont="1" applyFill="1" applyAlignment="1">
      <alignment horizontal="center" wrapText="1"/>
    </xf>
    <xf numFmtId="0" fontId="22" fillId="4" borderId="0" xfId="5" applyFont="1" applyFill="1"/>
    <xf numFmtId="171" fontId="22" fillId="4" borderId="0" xfId="5" applyNumberFormat="1" applyFont="1" applyFill="1" applyAlignment="1">
      <alignment horizontal="center"/>
    </xf>
    <xf numFmtId="9" fontId="38" fillId="0" borderId="0" xfId="5" applyNumberFormat="1" applyFont="1"/>
    <xf numFmtId="0" fontId="33" fillId="0" borderId="0" xfId="0" applyFont="1" applyAlignment="1">
      <alignment horizontal="left" vertical="center" wrapText="1"/>
    </xf>
    <xf numFmtId="0" fontId="30" fillId="0" borderId="0" xfId="0" applyFont="1" applyAlignment="1">
      <alignment horizontal="left" vertical="center" wrapText="1"/>
    </xf>
    <xf numFmtId="0" fontId="7" fillId="0" borderId="0" xfId="0" applyFont="1"/>
    <xf numFmtId="177" fontId="0" fillId="0" borderId="0" xfId="0" applyNumberFormat="1"/>
    <xf numFmtId="165" fontId="9" fillId="0" borderId="0" xfId="0" applyNumberFormat="1" applyFont="1"/>
    <xf numFmtId="169" fontId="0" fillId="0" borderId="0" xfId="0" applyNumberFormat="1"/>
    <xf numFmtId="0" fontId="14" fillId="0" borderId="0" xfId="0" applyFont="1" applyAlignment="1">
      <alignment horizontal="left" vertical="center"/>
    </xf>
    <xf numFmtId="0" fontId="12" fillId="0" borderId="0" xfId="0" applyFont="1" applyAlignment="1">
      <alignment horizontal="center" vertical="center"/>
    </xf>
    <xf numFmtId="0" fontId="40" fillId="0" borderId="0" xfId="0" applyFont="1"/>
    <xf numFmtId="166" fontId="34" fillId="0" borderId="0" xfId="0" applyNumberFormat="1" applyFont="1"/>
    <xf numFmtId="166" fontId="9" fillId="10" borderId="0" xfId="0" applyNumberFormat="1" applyFont="1" applyFill="1"/>
    <xf numFmtId="2" fontId="37" fillId="6" borderId="0" xfId="0" applyNumberFormat="1" applyFont="1" applyFill="1"/>
    <xf numFmtId="1" fontId="25" fillId="4" borderId="1" xfId="3" applyNumberFormat="1" applyFont="1" applyFill="1" applyBorder="1" applyAlignment="1">
      <alignment horizontal="right" vertical="center"/>
    </xf>
    <xf numFmtId="168" fontId="6" fillId="0" borderId="4" xfId="0" applyNumberFormat="1" applyFont="1" applyBorder="1"/>
    <xf numFmtId="177" fontId="8" fillId="0" borderId="1" xfId="0" applyNumberFormat="1" applyFont="1" applyBorder="1"/>
    <xf numFmtId="0" fontId="15" fillId="0" borderId="1" xfId="2" applyFont="1" applyBorder="1" applyAlignment="1">
      <alignment horizontal="left" vertical="center"/>
    </xf>
    <xf numFmtId="0" fontId="30" fillId="0" borderId="1" xfId="0" quotePrefix="1" applyFont="1" applyBorder="1" applyAlignment="1">
      <alignment vertical="center"/>
    </xf>
    <xf numFmtId="0" fontId="30" fillId="0" borderId="1" xfId="0" applyFont="1" applyBorder="1" applyAlignment="1">
      <alignment horizontal="left" vertical="center"/>
    </xf>
    <xf numFmtId="0" fontId="16" fillId="0" borderId="0" xfId="0" applyFont="1" applyAlignment="1">
      <alignment vertical="center" wrapText="1"/>
    </xf>
    <xf numFmtId="0" fontId="16" fillId="0" borderId="6" xfId="0" applyFont="1" applyBorder="1" applyAlignment="1">
      <alignment vertical="center"/>
    </xf>
    <xf numFmtId="0" fontId="16" fillId="0" borderId="0" xfId="0" applyFont="1" applyAlignment="1">
      <alignment vertical="center"/>
    </xf>
    <xf numFmtId="168" fontId="9" fillId="10" borderId="3" xfId="0" applyNumberFormat="1" applyFont="1" applyFill="1" applyBorder="1"/>
    <xf numFmtId="3" fontId="9" fillId="10" borderId="4" xfId="0" applyNumberFormat="1" applyFont="1" applyFill="1" applyBorder="1"/>
    <xf numFmtId="168" fontId="9" fillId="10" borderId="4" xfId="0" applyNumberFormat="1" applyFont="1" applyFill="1" applyBorder="1"/>
    <xf numFmtId="9" fontId="9" fillId="10" borderId="3" xfId="0" applyNumberFormat="1" applyFont="1" applyFill="1" applyBorder="1"/>
    <xf numFmtId="9" fontId="9" fillId="10" borderId="4" xfId="0" applyNumberFormat="1" applyFont="1" applyFill="1" applyBorder="1"/>
    <xf numFmtId="0" fontId="8" fillId="0" borderId="25" xfId="0" applyFont="1" applyBorder="1" applyAlignment="1">
      <alignment vertical="center"/>
    </xf>
    <xf numFmtId="177" fontId="8" fillId="0" borderId="1" xfId="0" applyNumberFormat="1" applyFont="1" applyBorder="1" applyAlignment="1">
      <alignment horizontal="right"/>
    </xf>
    <xf numFmtId="0" fontId="9" fillId="6" borderId="1" xfId="0" applyFont="1" applyFill="1" applyBorder="1" applyAlignment="1">
      <alignment horizontal="left" vertical="center"/>
    </xf>
    <xf numFmtId="0" fontId="24" fillId="4" borderId="0" xfId="5" applyFont="1" applyFill="1" applyAlignment="1">
      <alignment horizontal="left"/>
    </xf>
    <xf numFmtId="0" fontId="9" fillId="0" borderId="0" xfId="0" applyFont="1" applyAlignment="1">
      <alignment horizontal="center"/>
    </xf>
    <xf numFmtId="0" fontId="29" fillId="0" borderId="4" xfId="0" applyFont="1" applyBorder="1" applyAlignment="1">
      <alignment vertical="center" wrapText="1"/>
    </xf>
    <xf numFmtId="0" fontId="9" fillId="0" borderId="0" xfId="0" applyFont="1" applyAlignment="1">
      <alignment horizontal="right" wrapText="1"/>
    </xf>
    <xf numFmtId="0" fontId="26" fillId="0" borderId="0" xfId="0" quotePrefix="1" applyFont="1" applyAlignment="1">
      <alignment vertical="center"/>
    </xf>
    <xf numFmtId="0" fontId="29" fillId="0" borderId="0" xfId="0" applyFont="1" applyAlignment="1">
      <alignment horizontal="left" vertical="center" wrapText="1"/>
    </xf>
    <xf numFmtId="9" fontId="25" fillId="0" borderId="0" xfId="3" applyFont="1" applyFill="1" applyBorder="1" applyAlignment="1">
      <alignment horizontal="right" vertical="center"/>
    </xf>
    <xf numFmtId="0" fontId="0" fillId="0" borderId="0" xfId="0" applyAlignment="1">
      <alignment horizontal="right"/>
    </xf>
    <xf numFmtId="9" fontId="25" fillId="6" borderId="0" xfId="3" applyFont="1" applyFill="1" applyBorder="1" applyAlignment="1">
      <alignment horizontal="right" vertical="center"/>
    </xf>
    <xf numFmtId="0" fontId="30" fillId="0" borderId="2" xfId="0" quotePrefix="1" applyFont="1" applyBorder="1" applyAlignment="1">
      <alignment vertical="center"/>
    </xf>
    <xf numFmtId="0" fontId="5" fillId="0" borderId="0" xfId="2" applyFill="1" applyBorder="1" applyAlignment="1"/>
    <xf numFmtId="0" fontId="5" fillId="0" borderId="0" xfId="2"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43" fillId="4" borderId="6" xfId="5" applyFont="1" applyFill="1" applyBorder="1" applyAlignment="1">
      <alignment horizontal="left"/>
    </xf>
    <xf numFmtId="0" fontId="43" fillId="4" borderId="10" xfId="5" applyFont="1" applyFill="1" applyBorder="1" applyAlignment="1">
      <alignment horizontal="left"/>
    </xf>
    <xf numFmtId="0" fontId="10" fillId="0" borderId="0" xfId="0" applyFont="1"/>
    <xf numFmtId="0" fontId="44" fillId="0" borderId="0" xfId="0" applyFont="1" applyAlignment="1">
      <alignment horizontal="left" vertical="center" wrapText="1"/>
    </xf>
    <xf numFmtId="0" fontId="41" fillId="5" borderId="2" xfId="0" applyFont="1" applyFill="1" applyBorder="1" applyAlignment="1">
      <alignment horizontal="left"/>
    </xf>
    <xf numFmtId="0" fontId="41" fillId="5" borderId="1" xfId="0" applyFont="1" applyFill="1" applyBorder="1" applyAlignment="1">
      <alignment horizontal="left"/>
    </xf>
    <xf numFmtId="0" fontId="41" fillId="5" borderId="2" xfId="0" applyFont="1" applyFill="1" applyBorder="1" applyAlignment="1">
      <alignment horizontal="right"/>
    </xf>
    <xf numFmtId="0" fontId="43" fillId="4" borderId="0" xfId="5" applyFont="1" applyFill="1" applyAlignment="1">
      <alignment horizontal="left" vertical="center"/>
    </xf>
    <xf numFmtId="0" fontId="39" fillId="6" borderId="19" xfId="0" applyFont="1" applyFill="1" applyBorder="1" applyAlignment="1">
      <alignment horizontal="left" vertical="center"/>
    </xf>
    <xf numFmtId="0" fontId="41" fillId="3" borderId="16" xfId="0" applyFont="1" applyFill="1" applyBorder="1" applyAlignment="1">
      <alignment horizontal="left" vertical="center" wrapText="1"/>
    </xf>
    <xf numFmtId="166" fontId="32" fillId="10" borderId="16" xfId="0" applyNumberFormat="1" applyFont="1" applyFill="1" applyBorder="1" applyAlignment="1">
      <alignment horizontal="left" vertical="center" wrapText="1"/>
    </xf>
    <xf numFmtId="0" fontId="41" fillId="5" borderId="1" xfId="0" applyFont="1" applyFill="1" applyBorder="1"/>
    <xf numFmtId="0" fontId="41" fillId="5" borderId="1" xfId="0" applyFont="1" applyFill="1" applyBorder="1" applyAlignment="1">
      <alignment horizontal="right"/>
    </xf>
    <xf numFmtId="0" fontId="18" fillId="0" borderId="1" xfId="0" applyFont="1" applyBorder="1" applyAlignment="1">
      <alignment horizontal="right" vertical="center" wrapText="1"/>
    </xf>
    <xf numFmtId="0" fontId="43" fillId="4" borderId="0" xfId="5" applyFont="1" applyFill="1" applyAlignment="1">
      <alignment horizontal="left"/>
    </xf>
    <xf numFmtId="0" fontId="33" fillId="6" borderId="0" xfId="0" applyFont="1" applyFill="1" applyAlignment="1">
      <alignment horizontal="left" vertical="center" wrapText="1"/>
    </xf>
    <xf numFmtId="0" fontId="41" fillId="5" borderId="5" xfId="0" applyFont="1" applyFill="1" applyBorder="1" applyAlignment="1">
      <alignment horizontal="left"/>
    </xf>
    <xf numFmtId="0" fontId="13" fillId="0" borderId="3" xfId="0" applyFont="1" applyBorder="1"/>
    <xf numFmtId="0" fontId="10" fillId="0" borderId="22" xfId="0" applyFont="1" applyBorder="1" applyAlignment="1">
      <alignment horizontal="left" vertical="center" wrapText="1"/>
    </xf>
    <xf numFmtId="0" fontId="41" fillId="5" borderId="1" xfId="0" applyFont="1" applyFill="1" applyBorder="1" applyAlignment="1">
      <alignment horizontal="center"/>
    </xf>
    <xf numFmtId="0" fontId="42" fillId="5" borderId="1" xfId="5" applyFont="1" applyFill="1" applyBorder="1" applyAlignment="1">
      <alignment horizontal="left" vertical="center"/>
    </xf>
    <xf numFmtId="0" fontId="42" fillId="5" borderId="1" xfId="5" applyFont="1" applyFill="1" applyBorder="1" applyAlignment="1">
      <alignment horizontal="center" vertical="center"/>
    </xf>
    <xf numFmtId="0" fontId="42" fillId="5" borderId="1" xfId="5" applyFont="1" applyFill="1" applyBorder="1" applyAlignment="1">
      <alignment horizontal="left" vertical="center" wrapText="1"/>
    </xf>
    <xf numFmtId="0" fontId="42" fillId="5" borderId="1" xfId="5" applyFont="1" applyFill="1" applyBorder="1" applyAlignment="1">
      <alignment horizontal="center" vertical="center" wrapText="1"/>
    </xf>
    <xf numFmtId="0" fontId="23" fillId="0" borderId="1" xfId="5" applyFont="1" applyBorder="1" applyAlignment="1">
      <alignment horizontal="left" vertical="center"/>
    </xf>
    <xf numFmtId="1" fontId="30" fillId="8" borderId="1" xfId="0" applyNumberFormat="1" applyFont="1" applyFill="1" applyBorder="1" applyAlignment="1">
      <alignment vertical="center" wrapText="1"/>
    </xf>
    <xf numFmtId="0" fontId="46" fillId="6" borderId="1" xfId="0" applyFont="1" applyFill="1" applyBorder="1" applyAlignment="1">
      <alignment horizontal="left" vertical="center"/>
    </xf>
    <xf numFmtId="0" fontId="10" fillId="9" borderId="1" xfId="0" applyFont="1" applyFill="1" applyBorder="1" applyAlignment="1">
      <alignment wrapText="1"/>
    </xf>
    <xf numFmtId="165" fontId="41" fillId="2" borderId="1" xfId="0" applyNumberFormat="1" applyFont="1" applyFill="1" applyBorder="1" applyAlignment="1">
      <alignment horizontal="right"/>
    </xf>
    <xf numFmtId="177" fontId="11" fillId="2" borderId="1" xfId="0" applyNumberFormat="1" applyFont="1" applyFill="1" applyBorder="1"/>
    <xf numFmtId="165" fontId="47" fillId="2" borderId="1" xfId="0" applyNumberFormat="1" applyFont="1" applyFill="1" applyBorder="1" applyAlignment="1">
      <alignment horizontal="right"/>
    </xf>
    <xf numFmtId="0" fontId="41" fillId="0" borderId="1" xfId="0" applyFont="1" applyBorder="1" applyAlignment="1">
      <alignment vertical="center"/>
    </xf>
    <xf numFmtId="169" fontId="41" fillId="0" borderId="1" xfId="0" applyNumberFormat="1" applyFont="1" applyBorder="1" applyAlignment="1">
      <alignment vertical="center"/>
    </xf>
    <xf numFmtId="0" fontId="41" fillId="0" borderId="1" xfId="0" applyFont="1" applyBorder="1" applyAlignment="1">
      <alignment vertical="center" wrapText="1"/>
    </xf>
    <xf numFmtId="168" fontId="41" fillId="0" borderId="1" xfId="0" applyNumberFormat="1" applyFont="1" applyBorder="1" applyAlignment="1">
      <alignment vertical="center"/>
    </xf>
    <xf numFmtId="166" fontId="41" fillId="6" borderId="1" xfId="0" applyNumberFormat="1" applyFont="1" applyFill="1" applyBorder="1" applyAlignment="1">
      <alignment vertical="center" wrapText="1"/>
    </xf>
    <xf numFmtId="0" fontId="8" fillId="6" borderId="1" xfId="0" applyFont="1" applyFill="1" applyBorder="1" applyAlignment="1">
      <alignment horizontal="right" vertical="center" wrapText="1"/>
    </xf>
    <xf numFmtId="0" fontId="8" fillId="6" borderId="1" xfId="4" applyFont="1" applyFill="1" applyBorder="1" applyAlignment="1">
      <alignment horizontal="right" vertical="center"/>
    </xf>
    <xf numFmtId="0" fontId="21" fillId="0" borderId="4" xfId="5" applyFont="1" applyBorder="1" applyAlignment="1">
      <alignment horizontal="left"/>
    </xf>
    <xf numFmtId="0" fontId="15" fillId="0" borderId="1" xfId="2" applyFont="1" applyBorder="1"/>
    <xf numFmtId="0" fontId="2" fillId="0" borderId="1" xfId="0" applyFont="1" applyBorder="1" applyAlignment="1">
      <alignment vertical="center" wrapText="1"/>
    </xf>
    <xf numFmtId="0" fontId="48" fillId="4" borderId="0" xfId="5" applyFont="1" applyFill="1" applyAlignment="1">
      <alignment horizontal="left"/>
    </xf>
    <xf numFmtId="0" fontId="48" fillId="4" borderId="21" xfId="5" applyFont="1" applyFill="1" applyBorder="1" applyAlignment="1">
      <alignment horizontal="left"/>
    </xf>
    <xf numFmtId="165" fontId="10" fillId="9" borderId="1" xfId="0" applyNumberFormat="1" applyFont="1" applyFill="1" applyBorder="1" applyAlignment="1">
      <alignment horizontal="right"/>
    </xf>
    <xf numFmtId="177" fontId="10" fillId="9" borderId="1" xfId="0" applyNumberFormat="1" applyFont="1" applyFill="1" applyBorder="1"/>
    <xf numFmtId="0" fontId="2" fillId="0" borderId="0" xfId="0" applyFont="1"/>
    <xf numFmtId="0" fontId="15" fillId="0" borderId="0" xfId="2" applyFont="1" applyFill="1" applyBorder="1" applyAlignment="1"/>
    <xf numFmtId="0" fontId="15" fillId="0" borderId="0" xfId="2" applyFont="1" applyAlignment="1">
      <alignment horizontal="left" vertical="center" wrapText="1"/>
    </xf>
    <xf numFmtId="0" fontId="15" fillId="0" borderId="0" xfId="2" applyFont="1" applyBorder="1" applyAlignment="1"/>
    <xf numFmtId="0" fontId="15" fillId="0" borderId="0" xfId="2" applyFont="1" applyBorder="1" applyAlignment="1">
      <alignment wrapText="1"/>
    </xf>
    <xf numFmtId="0" fontId="33" fillId="0" borderId="22" xfId="0" applyFont="1" applyBorder="1" applyAlignment="1">
      <alignment horizontal="left" vertical="center"/>
    </xf>
    <xf numFmtId="170" fontId="30" fillId="4" borderId="1" xfId="0" applyNumberFormat="1" applyFont="1" applyFill="1" applyBorder="1" applyAlignment="1">
      <alignment vertical="center" wrapText="1"/>
    </xf>
    <xf numFmtId="17" fontId="2" fillId="6" borderId="16" xfId="0" applyNumberFormat="1" applyFont="1" applyFill="1" applyBorder="1" applyAlignment="1">
      <alignment horizontal="left" wrapText="1"/>
    </xf>
    <xf numFmtId="0" fontId="2" fillId="6" borderId="16" xfId="0" applyFont="1" applyFill="1" applyBorder="1"/>
    <xf numFmtId="0" fontId="9" fillId="6" borderId="27" xfId="0" applyFont="1" applyFill="1" applyBorder="1" applyAlignment="1">
      <alignment horizontal="left" vertical="center"/>
    </xf>
    <xf numFmtId="0" fontId="21" fillId="6" borderId="28" xfId="5" applyFont="1" applyFill="1" applyBorder="1" applyAlignment="1">
      <alignment horizontal="left"/>
    </xf>
    <xf numFmtId="9" fontId="9" fillId="10" borderId="30" xfId="0" applyNumberFormat="1" applyFont="1" applyFill="1" applyBorder="1"/>
    <xf numFmtId="1" fontId="25" fillId="8" borderId="1" xfId="3" applyNumberFormat="1" applyFont="1" applyFill="1" applyBorder="1" applyAlignment="1">
      <alignment horizontal="right" vertical="center"/>
    </xf>
    <xf numFmtId="1" fontId="23" fillId="4" borderId="1" xfId="0" applyNumberFormat="1" applyFont="1" applyFill="1" applyBorder="1" applyAlignment="1">
      <alignment vertical="center" wrapText="1"/>
    </xf>
    <xf numFmtId="0" fontId="15" fillId="0" borderId="0" xfId="2" applyFont="1" applyFill="1" applyBorder="1" applyAlignment="1">
      <alignment vertical="center" wrapText="1"/>
    </xf>
    <xf numFmtId="0" fontId="9" fillId="0" borderId="33" xfId="0" applyFont="1" applyBorder="1" applyAlignment="1">
      <alignment horizontal="left" vertical="center" wrapText="1"/>
    </xf>
    <xf numFmtId="0" fontId="2" fillId="6" borderId="33" xfId="0" applyFont="1" applyFill="1" applyBorder="1" applyAlignment="1">
      <alignment vertical="center" wrapText="1"/>
    </xf>
    <xf numFmtId="166" fontId="2" fillId="0" borderId="29" xfId="0" applyNumberFormat="1" applyFont="1" applyBorder="1" applyAlignment="1">
      <alignment horizontal="left" vertical="center"/>
    </xf>
    <xf numFmtId="0" fontId="2" fillId="0" borderId="0" xfId="0" applyFont="1" applyAlignment="1">
      <alignment horizontal="right" vertical="center" textRotation="90" wrapText="1"/>
    </xf>
    <xf numFmtId="0" fontId="2" fillId="0" borderId="0" xfId="0" applyFont="1" applyAlignment="1">
      <alignment horizontal="left" vertical="top" wrapText="1"/>
    </xf>
    <xf numFmtId="0" fontId="2" fillId="4" borderId="0" xfId="0" applyFont="1" applyFill="1"/>
    <xf numFmtId="0" fontId="2" fillId="6" borderId="14" xfId="0" applyFont="1" applyFill="1" applyBorder="1"/>
    <xf numFmtId="0" fontId="2" fillId="6" borderId="0" xfId="0" applyFont="1" applyFill="1"/>
    <xf numFmtId="0" fontId="2" fillId="6" borderId="16" xfId="0" applyFont="1" applyFill="1" applyBorder="1" applyAlignment="1">
      <alignment wrapText="1"/>
    </xf>
    <xf numFmtId="0" fontId="2" fillId="6" borderId="16" xfId="0" quotePrefix="1" applyFont="1" applyFill="1" applyBorder="1" applyAlignment="1">
      <alignment wrapText="1"/>
    </xf>
    <xf numFmtId="173" fontId="2" fillId="6" borderId="1" xfId="1" applyNumberFormat="1" applyFont="1" applyFill="1" applyBorder="1" applyAlignment="1">
      <alignment horizontal="left" vertical="center"/>
    </xf>
    <xf numFmtId="175" fontId="2" fillId="6" borderId="16" xfId="0" applyNumberFormat="1" applyFont="1" applyFill="1" applyBorder="1" applyAlignment="1">
      <alignment horizontal="left" vertical="center" wrapText="1"/>
    </xf>
    <xf numFmtId="0" fontId="2" fillId="6" borderId="0" xfId="0" applyFont="1" applyFill="1" applyAlignment="1">
      <alignment wrapText="1"/>
    </xf>
    <xf numFmtId="0" fontId="2" fillId="6" borderId="24" xfId="0" applyFont="1" applyFill="1" applyBorder="1" applyAlignment="1">
      <alignment wrapText="1"/>
    </xf>
    <xf numFmtId="0" fontId="2" fillId="6" borderId="14" xfId="0" applyFont="1" applyFill="1" applyBorder="1" applyAlignment="1">
      <alignment horizontal="left" vertical="center"/>
    </xf>
    <xf numFmtId="0" fontId="2" fillId="6" borderId="0" xfId="0" applyFont="1" applyFill="1" applyAlignment="1">
      <alignment horizontal="left" vertical="center"/>
    </xf>
    <xf numFmtId="0" fontId="2" fillId="6" borderId="1" xfId="0" applyFont="1" applyFill="1" applyBorder="1" applyAlignment="1">
      <alignment vertical="center"/>
    </xf>
    <xf numFmtId="167" fontId="2" fillId="4" borderId="1" xfId="0" applyNumberFormat="1" applyFont="1" applyFill="1" applyBorder="1" applyAlignment="1">
      <alignment horizontal="right" vertical="center"/>
    </xf>
    <xf numFmtId="0" fontId="2" fillId="0" borderId="1" xfId="0" applyFont="1" applyBorder="1" applyAlignment="1">
      <alignment vertical="center"/>
    </xf>
    <xf numFmtId="0" fontId="2" fillId="0" borderId="1" xfId="0" applyFont="1" applyBorder="1"/>
    <xf numFmtId="3" fontId="2" fillId="4" borderId="2" xfId="0" applyNumberFormat="1" applyFont="1" applyFill="1" applyBorder="1" applyAlignment="1">
      <alignment horizontal="right" vertical="center"/>
    </xf>
    <xf numFmtId="0" fontId="2" fillId="6" borderId="1" xfId="0" applyFont="1" applyFill="1" applyBorder="1" applyAlignment="1">
      <alignment vertical="center" wrapText="1"/>
    </xf>
    <xf numFmtId="0" fontId="2" fillId="0" borderId="25" xfId="0" applyFont="1" applyBorder="1"/>
    <xf numFmtId="0" fontId="2" fillId="0" borderId="0" xfId="0" applyFont="1" applyAlignment="1">
      <alignment horizontal="left"/>
    </xf>
    <xf numFmtId="0" fontId="2" fillId="4" borderId="1" xfId="0" applyFont="1" applyFill="1" applyBorder="1"/>
    <xf numFmtId="3" fontId="2" fillId="4" borderId="1" xfId="0" applyNumberFormat="1" applyFont="1" applyFill="1" applyBorder="1"/>
    <xf numFmtId="0" fontId="2" fillId="0" borderId="1" xfId="0" applyFont="1" applyBorder="1" applyAlignment="1">
      <alignment wrapText="1"/>
    </xf>
    <xf numFmtId="0" fontId="2" fillId="6" borderId="1" xfId="0" applyFont="1" applyFill="1" applyBorder="1" applyAlignment="1">
      <alignment horizontal="left" vertical="center" wrapText="1"/>
    </xf>
    <xf numFmtId="0" fontId="2" fillId="6" borderId="1" xfId="0" applyFont="1" applyFill="1" applyBorder="1" applyAlignment="1">
      <alignment horizontal="left"/>
    </xf>
    <xf numFmtId="0" fontId="2" fillId="0" borderId="0" xfId="0" applyFont="1" applyAlignment="1">
      <alignment vertical="center"/>
    </xf>
    <xf numFmtId="9" fontId="2" fillId="0" borderId="0" xfId="0" applyNumberFormat="1" applyFont="1" applyAlignment="1">
      <alignment horizontal="right" vertical="center"/>
    </xf>
    <xf numFmtId="9" fontId="2" fillId="8" borderId="25" xfId="3" applyFont="1" applyFill="1" applyBorder="1" applyAlignment="1">
      <alignment horizontal="right" vertical="center"/>
    </xf>
    <xf numFmtId="0" fontId="2" fillId="0" borderId="1" xfId="0" applyFont="1" applyBorder="1" applyAlignment="1">
      <alignment horizontal="left" vertical="center"/>
    </xf>
    <xf numFmtId="0" fontId="2" fillId="4" borderId="25" xfId="0" applyFont="1" applyFill="1" applyBorder="1" applyAlignment="1">
      <alignment horizontal="right" vertical="center"/>
    </xf>
    <xf numFmtId="0" fontId="2" fillId="4" borderId="5" xfId="0" applyFont="1" applyFill="1" applyBorder="1" applyAlignment="1">
      <alignment horizontal="right" vertical="center"/>
    </xf>
    <xf numFmtId="9" fontId="2" fillId="8" borderId="26" xfId="3" applyFont="1" applyFill="1" applyBorder="1" applyAlignment="1">
      <alignment horizontal="right" vertical="center"/>
    </xf>
    <xf numFmtId="0" fontId="2" fillId="6" borderId="25" xfId="0" applyFont="1" applyFill="1" applyBorder="1" applyAlignment="1">
      <alignment horizontal="left"/>
    </xf>
    <xf numFmtId="0" fontId="2" fillId="0" borderId="0" xfId="0" applyFont="1" applyAlignment="1">
      <alignment horizontal="left" vertical="center"/>
    </xf>
    <xf numFmtId="0" fontId="2" fillId="0" borderId="0" xfId="0" applyFont="1" applyAlignment="1">
      <alignment horizontal="left" vertical="center" wrapText="1"/>
    </xf>
    <xf numFmtId="43" fontId="2" fillId="4" borderId="25" xfId="1" applyFont="1" applyFill="1" applyBorder="1"/>
    <xf numFmtId="0" fontId="2" fillId="0" borderId="1" xfId="0" applyFont="1" applyBorder="1" applyAlignment="1">
      <alignment horizontal="left"/>
    </xf>
    <xf numFmtId="0" fontId="2" fillId="6" borderId="1" xfId="0" applyFont="1" applyFill="1" applyBorder="1"/>
    <xf numFmtId="9" fontId="2" fillId="4" borderId="25" xfId="1" applyNumberFormat="1" applyFont="1" applyFill="1" applyBorder="1"/>
    <xf numFmtId="166" fontId="2" fillId="8" borderId="25" xfId="0" applyNumberFormat="1" applyFont="1" applyFill="1" applyBorder="1" applyAlignment="1">
      <alignment horizontal="right" vertical="center"/>
    </xf>
    <xf numFmtId="9" fontId="2" fillId="8" borderId="25" xfId="1" applyNumberFormat="1" applyFont="1" applyFill="1" applyBorder="1"/>
    <xf numFmtId="9" fontId="2" fillId="8" borderId="5" xfId="3" applyFont="1" applyFill="1" applyBorder="1" applyAlignment="1">
      <alignment horizontal="right" vertical="center"/>
    </xf>
    <xf numFmtId="0" fontId="2" fillId="6" borderId="1" xfId="0" applyFont="1" applyFill="1" applyBorder="1" applyAlignment="1">
      <alignment horizontal="left" vertical="center"/>
    </xf>
    <xf numFmtId="9" fontId="2" fillId="8" borderId="9" xfId="3" applyFont="1" applyFill="1" applyBorder="1" applyAlignment="1">
      <alignment horizontal="right" vertical="center"/>
    </xf>
    <xf numFmtId="0" fontId="2" fillId="0" borderId="1" xfId="0" applyFont="1" applyBorder="1" applyAlignment="1">
      <alignment horizontal="right"/>
    </xf>
    <xf numFmtId="164" fontId="2" fillId="4" borderId="26" xfId="1" applyNumberFormat="1" applyFont="1" applyFill="1" applyBorder="1" applyAlignment="1">
      <alignment horizontal="right"/>
    </xf>
    <xf numFmtId="0" fontId="2" fillId="0" borderId="25" xfId="0" applyFont="1" applyBorder="1" applyAlignment="1">
      <alignment horizontal="left"/>
    </xf>
    <xf numFmtId="164" fontId="2" fillId="4" borderId="9" xfId="1" applyNumberFormat="1" applyFont="1" applyFill="1" applyBorder="1" applyAlignment="1">
      <alignment horizontal="right"/>
    </xf>
    <xf numFmtId="164" fontId="2" fillId="4" borderId="25" xfId="1" applyNumberFormat="1" applyFont="1" applyFill="1" applyBorder="1" applyAlignment="1">
      <alignment horizontal="right"/>
    </xf>
    <xf numFmtId="9" fontId="2" fillId="6" borderId="1" xfId="0" applyNumberFormat="1" applyFont="1" applyFill="1" applyBorder="1" applyAlignment="1">
      <alignment horizontal="right"/>
    </xf>
    <xf numFmtId="9" fontId="2" fillId="8" borderId="1" xfId="0" applyNumberFormat="1" applyFont="1" applyFill="1" applyBorder="1" applyAlignment="1">
      <alignment horizontal="right"/>
    </xf>
    <xf numFmtId="0" fontId="2" fillId="0" borderId="4" xfId="0" applyFont="1" applyBorder="1"/>
    <xf numFmtId="3" fontId="2" fillId="6" borderId="1" xfId="0" applyNumberFormat="1" applyFont="1" applyFill="1" applyBorder="1" applyAlignment="1">
      <alignment horizontal="right"/>
    </xf>
    <xf numFmtId="177" fontId="2" fillId="6" borderId="1" xfId="0" applyNumberFormat="1" applyFont="1" applyFill="1" applyBorder="1" applyAlignment="1">
      <alignment horizontal="right"/>
    </xf>
    <xf numFmtId="177" fontId="2" fillId="6" borderId="1" xfId="0" applyNumberFormat="1" applyFont="1" applyFill="1" applyBorder="1"/>
    <xf numFmtId="0" fontId="2" fillId="9" borderId="1" xfId="0" applyFont="1" applyFill="1" applyBorder="1" applyAlignment="1">
      <alignment wrapText="1"/>
    </xf>
    <xf numFmtId="172" fontId="2" fillId="9" borderId="1" xfId="0" applyNumberFormat="1" applyFont="1" applyFill="1" applyBorder="1" applyAlignment="1">
      <alignment horizontal="right"/>
    </xf>
    <xf numFmtId="177" fontId="2" fillId="9" borderId="1" xfId="0" applyNumberFormat="1" applyFont="1" applyFill="1" applyBorder="1"/>
    <xf numFmtId="0" fontId="2" fillId="9" borderId="1" xfId="0" applyFont="1" applyFill="1" applyBorder="1"/>
    <xf numFmtId="9" fontId="2" fillId="0" borderId="1" xfId="0" applyNumberFormat="1" applyFont="1" applyBorder="1" applyAlignment="1">
      <alignment horizontal="right"/>
    </xf>
    <xf numFmtId="9" fontId="2" fillId="8" borderId="1" xfId="0" applyNumberFormat="1" applyFont="1" applyFill="1" applyBorder="1"/>
    <xf numFmtId="9" fontId="2" fillId="0" borderId="1" xfId="0" applyNumberFormat="1" applyFont="1" applyBorder="1"/>
    <xf numFmtId="173" fontId="2" fillId="8" borderId="1" xfId="0" applyNumberFormat="1" applyFont="1" applyFill="1" applyBorder="1"/>
    <xf numFmtId="173" fontId="2" fillId="0" borderId="1" xfId="0" applyNumberFormat="1" applyFont="1" applyBorder="1"/>
    <xf numFmtId="3" fontId="2" fillId="0" borderId="1" xfId="0" applyNumberFormat="1" applyFont="1" applyBorder="1" applyAlignment="1">
      <alignment horizontal="right"/>
    </xf>
    <xf numFmtId="176" fontId="2" fillId="0" borderId="1" xfId="0" applyNumberFormat="1" applyFont="1" applyBorder="1"/>
    <xf numFmtId="177" fontId="2" fillId="0" borderId="1" xfId="0" applyNumberFormat="1" applyFont="1" applyBorder="1"/>
    <xf numFmtId="177" fontId="2" fillId="0" borderId="1" xfId="0" applyNumberFormat="1" applyFont="1" applyBorder="1" applyAlignment="1">
      <alignment horizontal="right"/>
    </xf>
    <xf numFmtId="167" fontId="2" fillId="0" borderId="1" xfId="0" applyNumberFormat="1" applyFont="1" applyBorder="1"/>
    <xf numFmtId="3" fontId="2" fillId="0" borderId="1" xfId="0" applyNumberFormat="1" applyFont="1" applyBorder="1"/>
    <xf numFmtId="0" fontId="2" fillId="0" borderId="0" xfId="0" applyFont="1" applyAlignment="1">
      <alignment horizontal="center"/>
    </xf>
    <xf numFmtId="168" fontId="2" fillId="0" borderId="3" xfId="0" applyNumberFormat="1" applyFont="1" applyBorder="1"/>
    <xf numFmtId="9" fontId="2" fillId="0" borderId="3" xfId="0" applyNumberFormat="1" applyFont="1" applyBorder="1"/>
    <xf numFmtId="3" fontId="2" fillId="0" borderId="4" xfId="0" applyNumberFormat="1" applyFont="1" applyBorder="1"/>
    <xf numFmtId="166" fontId="2" fillId="0" borderId="0" xfId="0" applyNumberFormat="1" applyFont="1"/>
    <xf numFmtId="9" fontId="2" fillId="0" borderId="4" xfId="0" applyNumberFormat="1" applyFont="1" applyBorder="1"/>
    <xf numFmtId="166" fontId="2" fillId="8" borderId="0" xfId="0" applyNumberFormat="1" applyFont="1" applyFill="1"/>
    <xf numFmtId="0" fontId="2" fillId="0" borderId="0" xfId="0" applyFont="1" applyAlignment="1">
      <alignment vertical="center" textRotation="90" wrapText="1"/>
    </xf>
    <xf numFmtId="168" fontId="2" fillId="0" borderId="4" xfId="0" applyNumberFormat="1" applyFont="1" applyBorder="1"/>
    <xf numFmtId="9" fontId="2" fillId="0" borderId="30" xfId="0" applyNumberFormat="1" applyFont="1" applyBorder="1"/>
    <xf numFmtId="0" fontId="2" fillId="0" borderId="3" xfId="0" applyFont="1" applyBorder="1" applyAlignment="1">
      <alignment vertical="top" wrapText="1"/>
    </xf>
    <xf numFmtId="166" fontId="2" fillId="0" borderId="0" xfId="0" quotePrefix="1" applyNumberFormat="1" applyFont="1" applyAlignment="1">
      <alignment vertical="center"/>
    </xf>
    <xf numFmtId="168" fontId="2" fillId="4" borderId="1" xfId="3" applyNumberFormat="1" applyFont="1" applyFill="1" applyBorder="1" applyAlignment="1">
      <alignment horizontal="right" vertical="center"/>
    </xf>
    <xf numFmtId="1" fontId="2" fillId="4" borderId="1" xfId="3" applyNumberFormat="1" applyFont="1" applyFill="1" applyBorder="1" applyAlignment="1">
      <alignment horizontal="right" wrapText="1"/>
    </xf>
    <xf numFmtId="2" fontId="2" fillId="4" borderId="1" xfId="3" applyNumberFormat="1" applyFont="1" applyFill="1" applyBorder="1" applyAlignment="1">
      <alignment horizontal="right" wrapText="1"/>
    </xf>
    <xf numFmtId="2" fontId="2" fillId="8" borderId="1" xfId="3" applyNumberFormat="1" applyFont="1" applyFill="1" applyBorder="1" applyAlignment="1">
      <alignment horizontal="right" wrapText="1"/>
    </xf>
    <xf numFmtId="2" fontId="2" fillId="0" borderId="0" xfId="3" applyNumberFormat="1" applyFont="1" applyFill="1" applyBorder="1" applyAlignment="1">
      <alignment horizontal="right" wrapText="1"/>
    </xf>
    <xf numFmtId="0" fontId="2" fillId="0" borderId="1" xfId="0" applyFont="1" applyBorder="1" applyAlignment="1">
      <alignment horizontal="left" wrapText="1"/>
    </xf>
    <xf numFmtId="1" fontId="2" fillId="4" borderId="1" xfId="3" applyNumberFormat="1" applyFont="1" applyFill="1" applyBorder="1" applyAlignment="1">
      <alignment horizontal="right" vertical="center"/>
    </xf>
    <xf numFmtId="1" fontId="2" fillId="8" borderId="1" xfId="0" applyNumberFormat="1" applyFont="1" applyFill="1" applyBorder="1" applyAlignment="1">
      <alignment horizontal="right" vertical="center"/>
    </xf>
    <xf numFmtId="9" fontId="2" fillId="0" borderId="0" xfId="0" applyNumberFormat="1" applyFont="1" applyAlignment="1">
      <alignment vertical="center" wrapText="1"/>
    </xf>
    <xf numFmtId="0" fontId="2" fillId="0" borderId="0" xfId="0" applyFont="1" applyAlignment="1">
      <alignment vertical="center" wrapText="1"/>
    </xf>
    <xf numFmtId="166" fontId="2" fillId="8" borderId="1" xfId="3" applyNumberFormat="1" applyFont="1" applyFill="1" applyBorder="1" applyAlignment="1">
      <alignment horizontal="right" vertical="center"/>
    </xf>
    <xf numFmtId="166" fontId="2" fillId="8" borderId="1" xfId="0" quotePrefix="1" applyNumberFormat="1" applyFont="1" applyFill="1" applyBorder="1" applyAlignment="1">
      <alignment horizontal="right" vertical="center"/>
    </xf>
    <xf numFmtId="166" fontId="2" fillId="0" borderId="0" xfId="0" quotePrefix="1" applyNumberFormat="1" applyFont="1" applyAlignment="1">
      <alignment horizontal="right" vertical="center"/>
    </xf>
    <xf numFmtId="1" fontId="2" fillId="0" borderId="4" xfId="0" applyNumberFormat="1" applyFont="1" applyBorder="1" applyAlignment="1">
      <alignment horizontal="center" vertical="center"/>
    </xf>
    <xf numFmtId="0" fontId="2" fillId="0" borderId="1" xfId="0" applyFont="1" applyBorder="1" applyAlignment="1">
      <alignment horizontal="left" vertical="center" wrapText="1"/>
    </xf>
    <xf numFmtId="1" fontId="2" fillId="4" borderId="1" xfId="0" applyNumberFormat="1" applyFont="1" applyFill="1" applyBorder="1" applyAlignment="1">
      <alignment horizontal="right" vertical="center"/>
    </xf>
    <xf numFmtId="0" fontId="2" fillId="0" borderId="4" xfId="0" applyFont="1" applyBorder="1" applyAlignment="1">
      <alignment vertical="center" wrapText="1"/>
    </xf>
    <xf numFmtId="178" fontId="2" fillId="4" borderId="1" xfId="0" applyNumberFormat="1" applyFont="1" applyFill="1" applyBorder="1" applyAlignment="1">
      <alignment horizontal="right"/>
    </xf>
    <xf numFmtId="0" fontId="2" fillId="0" borderId="3" xfId="0" applyFont="1" applyBorder="1"/>
    <xf numFmtId="9" fontId="2" fillId="0" borderId="23" xfId="3" applyFont="1" applyFill="1" applyBorder="1" applyAlignment="1">
      <alignment horizontal="right" vertical="center"/>
    </xf>
    <xf numFmtId="9" fontId="2" fillId="4" borderId="23" xfId="3" applyFont="1" applyFill="1" applyBorder="1" applyAlignment="1">
      <alignment horizontal="right" vertical="center"/>
    </xf>
    <xf numFmtId="9" fontId="2" fillId="8" borderId="23" xfId="3" applyFont="1" applyFill="1" applyBorder="1" applyAlignment="1">
      <alignment horizontal="right" vertical="center"/>
    </xf>
    <xf numFmtId="0" fontId="30" fillId="4" borderId="1" xfId="0" applyFont="1" applyFill="1" applyBorder="1" applyAlignment="1">
      <alignment horizontal="right" vertical="center" wrapText="1"/>
    </xf>
    <xf numFmtId="0" fontId="30" fillId="0" borderId="1" xfId="0" applyFont="1" applyBorder="1" applyAlignment="1">
      <alignment horizontal="right" vertical="center" wrapText="1"/>
    </xf>
    <xf numFmtId="168" fontId="30" fillId="4" borderId="1" xfId="0" applyNumberFormat="1" applyFont="1" applyFill="1" applyBorder="1" applyAlignment="1">
      <alignment horizontal="right" vertical="center" wrapText="1"/>
    </xf>
    <xf numFmtId="168" fontId="30" fillId="0" borderId="1" xfId="0" applyNumberFormat="1" applyFont="1" applyBorder="1" applyAlignment="1">
      <alignment horizontal="right" vertical="center" wrapText="1"/>
    </xf>
    <xf numFmtId="177" fontId="30" fillId="0" borderId="1" xfId="0" applyNumberFormat="1" applyFont="1" applyBorder="1" applyAlignment="1">
      <alignment horizontal="right" vertical="center" wrapText="1"/>
    </xf>
    <xf numFmtId="177" fontId="30" fillId="4" borderId="1" xfId="0" applyNumberFormat="1" applyFont="1" applyFill="1" applyBorder="1" applyAlignment="1">
      <alignment horizontal="right" vertical="center" wrapText="1"/>
    </xf>
    <xf numFmtId="1" fontId="30" fillId="0" borderId="1" xfId="0" applyNumberFormat="1" applyFont="1" applyBorder="1" applyAlignment="1">
      <alignment horizontal="right" vertical="center" wrapText="1"/>
    </xf>
    <xf numFmtId="0" fontId="2" fillId="6" borderId="35" xfId="0" applyFont="1" applyFill="1" applyBorder="1" applyAlignment="1">
      <alignment vertical="center" wrapText="1"/>
    </xf>
    <xf numFmtId="9" fontId="8" fillId="8" borderId="34" xfId="3" applyFont="1" applyFill="1" applyBorder="1" applyAlignment="1">
      <alignment horizontal="right" vertical="center"/>
    </xf>
    <xf numFmtId="9" fontId="8" fillId="8" borderId="36" xfId="3" applyFont="1" applyFill="1" applyBorder="1" applyAlignment="1">
      <alignment horizontal="right" vertical="center"/>
    </xf>
    <xf numFmtId="9" fontId="2" fillId="8" borderId="34" xfId="3" applyFont="1" applyFill="1" applyBorder="1" applyAlignment="1">
      <alignment horizontal="right" vertical="center"/>
    </xf>
    <xf numFmtId="0" fontId="2" fillId="6" borderId="35" xfId="0" applyFont="1" applyFill="1" applyBorder="1" applyAlignment="1">
      <alignment horizontal="left" vertical="center" wrapText="1"/>
    </xf>
    <xf numFmtId="166" fontId="2" fillId="8" borderId="2" xfId="0" applyNumberFormat="1" applyFont="1" applyFill="1" applyBorder="1" applyAlignment="1">
      <alignment horizontal="right" vertical="center"/>
    </xf>
    <xf numFmtId="9" fontId="2" fillId="8" borderId="36" xfId="3" applyFont="1" applyFill="1" applyBorder="1" applyAlignment="1">
      <alignment horizontal="right" vertical="center"/>
    </xf>
    <xf numFmtId="9" fontId="2" fillId="8" borderId="35" xfId="0" applyNumberFormat="1" applyFont="1" applyFill="1" applyBorder="1" applyAlignment="1">
      <alignment horizontal="right"/>
    </xf>
    <xf numFmtId="9" fontId="2" fillId="6" borderId="25" xfId="0" applyNumberFormat="1" applyFont="1" applyFill="1" applyBorder="1" applyAlignment="1">
      <alignment horizontal="right"/>
    </xf>
    <xf numFmtId="9" fontId="2" fillId="8" borderId="34" xfId="0" applyNumberFormat="1" applyFont="1" applyFill="1" applyBorder="1" applyAlignment="1">
      <alignment horizontal="right"/>
    </xf>
    <xf numFmtId="9" fontId="2" fillId="8" borderId="2" xfId="0" applyNumberFormat="1" applyFont="1" applyFill="1" applyBorder="1" applyAlignment="1">
      <alignment horizontal="right"/>
    </xf>
    <xf numFmtId="3" fontId="2" fillId="6" borderId="36" xfId="0" applyNumberFormat="1" applyFont="1" applyFill="1" applyBorder="1" applyAlignment="1">
      <alignment horizontal="right"/>
    </xf>
    <xf numFmtId="3" fontId="30" fillId="4" borderId="1" xfId="0" applyNumberFormat="1" applyFont="1" applyFill="1" applyBorder="1" applyAlignment="1">
      <alignment vertical="center" wrapText="1"/>
    </xf>
    <xf numFmtId="3" fontId="30" fillId="8" borderId="1" xfId="0" applyNumberFormat="1" applyFont="1" applyFill="1" applyBorder="1" applyAlignment="1">
      <alignment vertical="center" wrapText="1"/>
    </xf>
    <xf numFmtId="0" fontId="17" fillId="3" borderId="31" xfId="0" applyFont="1" applyFill="1" applyBorder="1" applyAlignment="1">
      <alignment horizontal="left" vertical="center"/>
    </xf>
    <xf numFmtId="0" fontId="17" fillId="3" borderId="32" xfId="0" applyFont="1" applyFill="1" applyBorder="1" applyAlignment="1">
      <alignment horizontal="left" vertical="center"/>
    </xf>
    <xf numFmtId="0" fontId="2" fillId="6" borderId="16" xfId="0" applyFont="1" applyFill="1" applyBorder="1" applyAlignment="1">
      <alignment horizontal="left" vertical="center" wrapText="1"/>
    </xf>
    <xf numFmtId="0" fontId="0" fillId="6" borderId="17" xfId="0" applyFill="1" applyBorder="1" applyAlignment="1">
      <alignment horizontal="left"/>
    </xf>
    <xf numFmtId="0" fontId="0" fillId="6" borderId="4" xfId="0" applyFill="1" applyBorder="1" applyAlignment="1">
      <alignment horizontal="left"/>
    </xf>
    <xf numFmtId="166" fontId="36" fillId="8" borderId="0" xfId="0" quotePrefix="1" applyNumberFormat="1" applyFont="1" applyFill="1" applyAlignment="1">
      <alignment horizontal="center" vertical="center"/>
    </xf>
    <xf numFmtId="0" fontId="49" fillId="4" borderId="0" xfId="4" applyFont="1" applyFill="1" applyBorder="1" applyAlignment="1">
      <alignment horizontal="center" vertical="center"/>
    </xf>
    <xf numFmtId="0" fontId="46" fillId="6" borderId="0" xfId="4" applyFont="1" applyFill="1" applyBorder="1" applyAlignment="1">
      <alignment horizontal="center" vertical="center"/>
    </xf>
    <xf numFmtId="0" fontId="2" fillId="0" borderId="0" xfId="0" applyFont="1" applyAlignment="1">
      <alignment horizontal="left" vertical="top" wrapText="1"/>
    </xf>
    <xf numFmtId="0" fontId="13" fillId="0" borderId="3" xfId="0" applyFont="1" applyBorder="1" applyAlignment="1">
      <alignment horizontal="left"/>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2" borderId="1" xfId="0" applyFont="1" applyFill="1" applyBorder="1" applyAlignment="1">
      <alignment horizontal="left"/>
    </xf>
    <xf numFmtId="0" fontId="2" fillId="8" borderId="3" xfId="0" applyFont="1" applyFill="1" applyBorder="1" applyAlignment="1">
      <alignment horizontal="center" vertical="center" wrapText="1"/>
    </xf>
    <xf numFmtId="0" fontId="2" fillId="0" borderId="0" xfId="0" applyFont="1" applyAlignment="1">
      <alignment horizontal="right" vertical="center" textRotation="90" wrapText="1"/>
    </xf>
    <xf numFmtId="0" fontId="2" fillId="0" borderId="0" xfId="0" applyFont="1" applyAlignment="1">
      <alignment horizontal="center" vertical="center" textRotation="90" wrapText="1"/>
    </xf>
    <xf numFmtId="0" fontId="2" fillId="0" borderId="0" xfId="0" applyFont="1" applyAlignment="1">
      <alignment horizontal="center"/>
    </xf>
  </cellXfs>
  <cellStyles count="6">
    <cellStyle name="Comma" xfId="1" builtinId="3"/>
    <cellStyle name="Hyperlink" xfId="2" builtinId="8"/>
    <cellStyle name="Input" xfId="4" builtinId="20"/>
    <cellStyle name="Normal" xfId="0" builtinId="0"/>
    <cellStyle name="Normal 3" xfId="5" xr:uid="{B5DEC5C4-E422-482E-BE12-DD5237397492}"/>
    <cellStyle name="Percent" xfId="3" builtinId="5"/>
  </cellStyles>
  <dxfs count="27">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theme="0"/>
      </font>
      <fill>
        <patternFill>
          <bgColor rgb="FFB4463C"/>
        </patternFill>
      </fill>
    </dxf>
    <dxf>
      <fill>
        <patternFill>
          <bgColor rgb="FFE1BE6E"/>
        </patternFill>
      </fill>
    </dxf>
    <dxf>
      <fill>
        <patternFill>
          <bgColor rgb="FF96B473"/>
        </patternFill>
      </fill>
    </dxf>
    <dxf>
      <font>
        <color theme="0"/>
      </font>
      <fill>
        <patternFill>
          <bgColor rgb="FFB4463C"/>
        </patternFill>
      </fill>
    </dxf>
    <dxf>
      <fill>
        <patternFill>
          <bgColor rgb="FFE1BE6E"/>
        </patternFill>
      </fill>
    </dxf>
    <dxf>
      <fill>
        <patternFill>
          <bgColor rgb="FF96B473"/>
        </patternFill>
      </fill>
    </dxf>
  </dxfs>
  <tableStyles count="0" defaultTableStyle="TableStyleMedium2" defaultPivotStyle="PivotStyleLight16"/>
  <colors>
    <mruColors>
      <color rgb="FFF0D7AA"/>
      <color rgb="FFDCA591"/>
      <color rgb="FFCDD2B4"/>
      <color rgb="FFC8AFBE"/>
      <color rgb="FFBED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r>
              <a:rPr lang="en-US" b="1"/>
              <a:t>Present Value vs. Project Costs</a:t>
            </a:r>
          </a:p>
        </c:rich>
      </c:tx>
      <c:layout>
        <c:manualLayout>
          <c:xMode val="edge"/>
          <c:yMode val="edge"/>
          <c:x val="0.38266930231298235"/>
          <c:y val="2.772963388617406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Pero" panose="020F0506020203030304" pitchFamily="34" charset="0"/>
              <a:ea typeface="+mn-ea"/>
              <a:cs typeface="+mn-cs"/>
            </a:defRPr>
          </a:pPr>
          <a:endParaRPr lang="en-US"/>
        </a:p>
      </c:txPr>
    </c:title>
    <c:autoTitleDeleted val="0"/>
    <c:plotArea>
      <c:layout>
        <c:manualLayout>
          <c:layoutTarget val="inner"/>
          <c:xMode val="edge"/>
          <c:yMode val="edge"/>
          <c:x val="8.7407811655029297E-2"/>
          <c:y val="0.11655055849903555"/>
          <c:w val="0.91259220598542645"/>
          <c:h val="0.74103425397315226"/>
        </c:manualLayout>
      </c:layout>
      <c:barChart>
        <c:barDir val="col"/>
        <c:grouping val="clustered"/>
        <c:varyColors val="0"/>
        <c:ser>
          <c:idx val="0"/>
          <c:order val="0"/>
          <c:spPr>
            <a:solidFill>
              <a:srgbClr val="DCA591"/>
            </a:solidFill>
            <a:ln>
              <a:noFill/>
            </a:ln>
            <a:effectLst/>
          </c:spPr>
          <c:invertIfNegative val="0"/>
          <c:dPt>
            <c:idx val="1"/>
            <c:invertIfNegative val="0"/>
            <c:bubble3D val="0"/>
            <c:spPr>
              <a:solidFill>
                <a:srgbClr val="CDD2B4"/>
              </a:solidFill>
              <a:ln>
                <a:noFill/>
              </a:ln>
              <a:effectLst/>
            </c:spPr>
            <c:extLst>
              <c:ext xmlns:c16="http://schemas.microsoft.com/office/drawing/2014/chart" uri="{C3380CC4-5D6E-409C-BE32-E72D297353CC}">
                <c16:uniqueId val="{00000003-9255-4A34-9705-2D06D2C37F04}"/>
              </c:ext>
            </c:extLst>
          </c:dPt>
          <c:dPt>
            <c:idx val="2"/>
            <c:invertIfNegative val="0"/>
            <c:bubble3D val="0"/>
            <c:spPr>
              <a:solidFill>
                <a:srgbClr val="BED2E1"/>
              </a:solidFill>
              <a:ln>
                <a:noFill/>
              </a:ln>
              <a:effectLst/>
            </c:spPr>
            <c:extLst>
              <c:ext xmlns:c16="http://schemas.microsoft.com/office/drawing/2014/chart" uri="{C3380CC4-5D6E-409C-BE32-E72D297353CC}">
                <c16:uniqueId val="{00000005-9255-4A34-9705-2D06D2C37F04}"/>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Summary!$C$67:$C$69</c:f>
              <c:strCache>
                <c:ptCount val="3"/>
                <c:pt idx="0">
                  <c:v>Project Costs discounted (in 2021 EUR)</c:v>
                </c:pt>
                <c:pt idx="1">
                  <c:v>Present Value (in 2021 EUR)</c:v>
                </c:pt>
                <c:pt idx="2">
                  <c:v>Net Present Value (in 2021 EUR)</c:v>
                </c:pt>
              </c:strCache>
            </c:strRef>
          </c:cat>
          <c:val>
            <c:numRef>
              <c:f>Summary!$D$67:$D$69</c:f>
              <c:numCache>
                <c:formatCode>#,##0\ "€"</c:formatCode>
                <c:ptCount val="3"/>
                <c:pt idx="0">
                  <c:v>1602329.0278307744</c:v>
                </c:pt>
                <c:pt idx="1">
                  <c:v>12311775.121256594</c:v>
                </c:pt>
                <c:pt idx="2">
                  <c:v>10709446.09342582</c:v>
                </c:pt>
              </c:numCache>
            </c:numRef>
          </c:val>
          <c:extLst>
            <c:ext xmlns:c16="http://schemas.microsoft.com/office/drawing/2014/chart" uri="{C3380CC4-5D6E-409C-BE32-E72D297353CC}">
              <c16:uniqueId val="{0000000A-9255-4A34-9705-2D06D2C37F04}"/>
            </c:ext>
          </c:extLst>
        </c:ser>
        <c:dLbls>
          <c:showLegendKey val="0"/>
          <c:showVal val="0"/>
          <c:showCatName val="0"/>
          <c:showSerName val="0"/>
          <c:showPercent val="0"/>
          <c:showBubbleSize val="0"/>
        </c:dLbls>
        <c:gapWidth val="100"/>
        <c:overlap val="-27"/>
        <c:axId val="843113504"/>
        <c:axId val="843114584"/>
      </c:barChart>
      <c:catAx>
        <c:axId val="84311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843114584"/>
        <c:crosses val="autoZero"/>
        <c:auto val="1"/>
        <c:lblAlgn val="ctr"/>
        <c:lblOffset val="100"/>
        <c:noMultiLvlLbl val="0"/>
      </c:catAx>
      <c:valAx>
        <c:axId val="843114584"/>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843113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Pero" panose="020F05060202030303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panose="020F0506020203030304" pitchFamily="34" charset="0"/>
                <a:ea typeface="+mn-ea"/>
                <a:cs typeface="+mn-cs"/>
              </a:defRPr>
            </a:pPr>
            <a:r>
              <a:rPr lang="en-US" sz="1400" b="1" i="0" u="none" strike="noStrike" kern="1200" spc="0" baseline="0">
                <a:solidFill>
                  <a:sysClr val="windowText" lastClr="000000"/>
                </a:solidFill>
                <a:latin typeface="Pero" panose="020F0506020203030304" pitchFamily="34" charset="0"/>
              </a:rPr>
              <a:t>Present Value vs. Costs per Household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ero" panose="020F0506020203030304" pitchFamily="34"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CA591"/>
              </a:solidFill>
              <a:ln>
                <a:noFill/>
              </a:ln>
              <a:effectLst/>
            </c:spPr>
            <c:extLst>
              <c:ext xmlns:c16="http://schemas.microsoft.com/office/drawing/2014/chart" uri="{C3380CC4-5D6E-409C-BE32-E72D297353CC}">
                <c16:uniqueId val="{00000001-5A1C-477B-8BD6-6EE0B4426B99}"/>
              </c:ext>
            </c:extLst>
          </c:dPt>
          <c:dPt>
            <c:idx val="1"/>
            <c:invertIfNegative val="0"/>
            <c:bubble3D val="0"/>
            <c:spPr>
              <a:solidFill>
                <a:srgbClr val="CDD2B4"/>
              </a:solidFill>
              <a:ln>
                <a:noFill/>
              </a:ln>
              <a:effectLst/>
            </c:spPr>
            <c:extLst>
              <c:ext xmlns:c16="http://schemas.microsoft.com/office/drawing/2014/chart" uri="{C3380CC4-5D6E-409C-BE32-E72D297353CC}">
                <c16:uniqueId val="{00000003-5A1C-477B-8BD6-6EE0B4426B99}"/>
              </c:ext>
            </c:extLst>
          </c:dPt>
          <c:dPt>
            <c:idx val="2"/>
            <c:invertIfNegative val="0"/>
            <c:bubble3D val="0"/>
            <c:spPr>
              <a:solidFill>
                <a:srgbClr val="BED2E1"/>
              </a:solidFill>
              <a:ln>
                <a:noFill/>
              </a:ln>
              <a:effectLst/>
            </c:spPr>
            <c:extLst>
              <c:ext xmlns:c16="http://schemas.microsoft.com/office/drawing/2014/chart" uri="{C3380CC4-5D6E-409C-BE32-E72D297353CC}">
                <c16:uniqueId val="{00000005-5A1C-477B-8BD6-6EE0B4426B9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Pero" panose="020F05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Summary!$B$49:$B$51</c:f>
              <c:strCache>
                <c:ptCount val="3"/>
                <c:pt idx="0">
                  <c:v>Costs per HH</c:v>
                </c:pt>
                <c:pt idx="1">
                  <c:v>PV per HH combined</c:v>
                </c:pt>
                <c:pt idx="2">
                  <c:v>NPV per HH</c:v>
                </c:pt>
              </c:strCache>
            </c:strRef>
          </c:cat>
          <c:val>
            <c:numRef>
              <c:f>Summary!$C$49:$C$51</c:f>
              <c:numCache>
                <c:formatCode>_-* #,##0\ [$€-407]_-;\-* #,##0\ [$€-407]_-;_-* "-"\ [$€-407]_-;_-@_-</c:formatCode>
                <c:ptCount val="3"/>
                <c:pt idx="0">
                  <c:v>47.127324347963956</c:v>
                </c:pt>
                <c:pt idx="1">
                  <c:v>362.11103297813509</c:v>
                </c:pt>
                <c:pt idx="2">
                  <c:v>314.98370863017112</c:v>
                </c:pt>
              </c:numCache>
            </c:numRef>
          </c:val>
          <c:extLst>
            <c:ext xmlns:c16="http://schemas.microsoft.com/office/drawing/2014/chart" uri="{C3380CC4-5D6E-409C-BE32-E72D297353CC}">
              <c16:uniqueId val="{0000000A-5A1C-477B-8BD6-6EE0B4426B99}"/>
            </c:ext>
          </c:extLst>
        </c:ser>
        <c:dLbls>
          <c:showLegendKey val="0"/>
          <c:showVal val="0"/>
          <c:showCatName val="0"/>
          <c:showSerName val="0"/>
          <c:showPercent val="0"/>
          <c:showBubbleSize val="0"/>
        </c:dLbls>
        <c:gapWidth val="100"/>
        <c:axId val="1235029696"/>
        <c:axId val="1235044816"/>
      </c:barChart>
      <c:catAx>
        <c:axId val="123502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1235044816"/>
        <c:crosses val="autoZero"/>
        <c:auto val="1"/>
        <c:lblAlgn val="ctr"/>
        <c:lblOffset val="100"/>
        <c:noMultiLvlLbl val="0"/>
      </c:catAx>
      <c:valAx>
        <c:axId val="1235044816"/>
        <c:scaling>
          <c:orientation val="minMax"/>
        </c:scaling>
        <c:delete val="0"/>
        <c:axPos val="l"/>
        <c:majorGridlines>
          <c:spPr>
            <a:ln w="9525" cap="flat" cmpd="sng" algn="ctr">
              <a:solidFill>
                <a:schemeClr val="tx1">
                  <a:lumMod val="15000"/>
                  <a:lumOff val="85000"/>
                </a:schemeClr>
              </a:solidFill>
              <a:round/>
            </a:ln>
            <a:effectLst/>
          </c:spPr>
        </c:majorGridlines>
        <c:numFmt formatCode="_-* #,##0\ [$€-407]_-;\-* #,##0\ [$€-407]_-;_-* &quot;-&quot;\ [$€-407]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ero" panose="020F0506020203030304" pitchFamily="34" charset="0"/>
                <a:ea typeface="+mn-ea"/>
                <a:cs typeface="+mn-cs"/>
              </a:defRPr>
            </a:pPr>
            <a:endParaRPr lang="en-US"/>
          </a:p>
        </c:txPr>
        <c:crossAx val="1235029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ero" panose="020F05060202030303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solidFill>
                <a:latin typeface="Pero" panose="020F0506020203030304" pitchFamily="34" charset="0"/>
              </a:rPr>
              <a:t>Share of Project Component in</a:t>
            </a:r>
          </a:p>
          <a:p>
            <a:pPr>
              <a:defRPr/>
            </a:pPr>
            <a:r>
              <a:rPr lang="en-US" sz="1400" b="1" i="0" u="none" strike="noStrike" kern="1200" spc="0" baseline="0">
                <a:solidFill>
                  <a:sysClr val="windowText" lastClr="000000"/>
                </a:solidFill>
                <a:latin typeface="Pero" panose="020F0506020203030304" pitchFamily="34" charset="0"/>
              </a:rPr>
              <a:t>Total Present Value per Household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Summary!$E$49</c:f>
              <c:strCache>
                <c:ptCount val="1"/>
                <c:pt idx="0">
                  <c:v>Coffee BP</c:v>
                </c:pt>
              </c:strCache>
            </c:strRef>
          </c:tx>
          <c:spPr>
            <a:solidFill>
              <a:srgbClr val="CDD2B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Summary!$F$48:$I$48</c:f>
              <c:strCache>
                <c:ptCount val="4"/>
                <c:pt idx="0">
                  <c:v>Average (accounting for TA size)</c:v>
                </c:pt>
                <c:pt idx="1">
                  <c:v>TA1</c:v>
                </c:pt>
                <c:pt idx="2">
                  <c:v>TA2</c:v>
                </c:pt>
                <c:pt idx="3">
                  <c:v>TA3 and 4</c:v>
                </c:pt>
              </c:strCache>
            </c:strRef>
          </c:cat>
          <c:val>
            <c:numRef>
              <c:f>Summary!$F$49:$I$49</c:f>
              <c:numCache>
                <c:formatCode>#,##0\ [$€-407];\-#,##0\ [$€-407]</c:formatCode>
                <c:ptCount val="4"/>
                <c:pt idx="0">
                  <c:v>134.84049350674857</c:v>
                </c:pt>
                <c:pt idx="1">
                  <c:v>134.84049350674857</c:v>
                </c:pt>
                <c:pt idx="2">
                  <c:v>134.84049350674857</c:v>
                </c:pt>
                <c:pt idx="3">
                  <c:v>134.84049350674857</c:v>
                </c:pt>
              </c:numCache>
            </c:numRef>
          </c:val>
          <c:extLst>
            <c:ext xmlns:c16="http://schemas.microsoft.com/office/drawing/2014/chart" uri="{C3380CC4-5D6E-409C-BE32-E72D297353CC}">
              <c16:uniqueId val="{00000000-6B01-41D8-AAC6-ED0B0A8E5DCE}"/>
            </c:ext>
          </c:extLst>
        </c:ser>
        <c:ser>
          <c:idx val="1"/>
          <c:order val="1"/>
          <c:tx>
            <c:strRef>
              <c:f>Summary!$E$50</c:f>
              <c:strCache>
                <c:ptCount val="1"/>
                <c:pt idx="0">
                  <c:v>Coffee Stumping</c:v>
                </c:pt>
              </c:strCache>
            </c:strRef>
          </c:tx>
          <c:spPr>
            <a:solidFill>
              <a:srgbClr val="BED2E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Summary!$F$48:$I$48</c:f>
              <c:strCache>
                <c:ptCount val="4"/>
                <c:pt idx="0">
                  <c:v>Average (accounting for TA size)</c:v>
                </c:pt>
                <c:pt idx="1">
                  <c:v>TA1</c:v>
                </c:pt>
                <c:pt idx="2">
                  <c:v>TA2</c:v>
                </c:pt>
                <c:pt idx="3">
                  <c:v>TA3 and 4</c:v>
                </c:pt>
              </c:strCache>
            </c:strRef>
          </c:cat>
          <c:val>
            <c:numRef>
              <c:f>Summary!$F$50:$I$50</c:f>
              <c:numCache>
                <c:formatCode>#,##0\ [$€-407];\-#,##0\ [$€-407]</c:formatCode>
                <c:ptCount val="4"/>
                <c:pt idx="0">
                  <c:v>111.06403989779378</c:v>
                </c:pt>
                <c:pt idx="1">
                  <c:v>111.06403989779378</c:v>
                </c:pt>
                <c:pt idx="2">
                  <c:v>111.06403989779378</c:v>
                </c:pt>
                <c:pt idx="3">
                  <c:v>111.06403989779378</c:v>
                </c:pt>
              </c:numCache>
            </c:numRef>
          </c:val>
          <c:extLst>
            <c:ext xmlns:c16="http://schemas.microsoft.com/office/drawing/2014/chart" uri="{C3380CC4-5D6E-409C-BE32-E72D297353CC}">
              <c16:uniqueId val="{00000001-6B01-41D8-AAC6-ED0B0A8E5DCE}"/>
            </c:ext>
          </c:extLst>
        </c:ser>
        <c:ser>
          <c:idx val="2"/>
          <c:order val="2"/>
          <c:tx>
            <c:strRef>
              <c:f>Summary!$E$51</c:f>
              <c:strCache>
                <c:ptCount val="1"/>
                <c:pt idx="0">
                  <c:v>Coffee Planting</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Summary!$F$48:$I$48</c:f>
              <c:strCache>
                <c:ptCount val="4"/>
                <c:pt idx="0">
                  <c:v>Average (accounting for TA size)</c:v>
                </c:pt>
                <c:pt idx="1">
                  <c:v>TA1</c:v>
                </c:pt>
                <c:pt idx="2">
                  <c:v>TA2</c:v>
                </c:pt>
                <c:pt idx="3">
                  <c:v>TA3 and 4</c:v>
                </c:pt>
              </c:strCache>
            </c:strRef>
          </c:cat>
          <c:val>
            <c:numRef>
              <c:f>Summary!$F$51:$I$51</c:f>
              <c:numCache>
                <c:formatCode>#,##0\ [$€-407];\-#,##0\ [$€-407]</c:formatCode>
                <c:ptCount val="4"/>
                <c:pt idx="0">
                  <c:v>78.449837468395771</c:v>
                </c:pt>
                <c:pt idx="1">
                  <c:v>78.449837468395771</c:v>
                </c:pt>
                <c:pt idx="2">
                  <c:v>78.449837468395771</c:v>
                </c:pt>
                <c:pt idx="3">
                  <c:v>78.449837468395771</c:v>
                </c:pt>
              </c:numCache>
            </c:numRef>
          </c:val>
          <c:extLst>
            <c:ext xmlns:c16="http://schemas.microsoft.com/office/drawing/2014/chart" uri="{C3380CC4-5D6E-409C-BE32-E72D297353CC}">
              <c16:uniqueId val="{00000002-6B01-41D8-AAC6-ED0B0A8E5DCE}"/>
            </c:ext>
          </c:extLst>
        </c:ser>
        <c:ser>
          <c:idx val="3"/>
          <c:order val="3"/>
          <c:tx>
            <c:strRef>
              <c:f>Summary!$E$52</c:f>
              <c:strCache>
                <c:ptCount val="1"/>
                <c:pt idx="0">
                  <c:v>Maize BP</c:v>
                </c:pt>
              </c:strCache>
            </c:strRef>
          </c:tx>
          <c:spPr>
            <a:solidFill>
              <a:srgbClr val="C8AF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Summary!$F$48:$I$48</c:f>
              <c:strCache>
                <c:ptCount val="4"/>
                <c:pt idx="0">
                  <c:v>Average (accounting for TA size)</c:v>
                </c:pt>
                <c:pt idx="1">
                  <c:v>TA1</c:v>
                </c:pt>
                <c:pt idx="2">
                  <c:v>TA2</c:v>
                </c:pt>
                <c:pt idx="3">
                  <c:v>TA3 and 4</c:v>
                </c:pt>
              </c:strCache>
            </c:strRef>
          </c:cat>
          <c:val>
            <c:numRef>
              <c:f>Summary!$F$52:$I$52</c:f>
              <c:numCache>
                <c:formatCode>General</c:formatCode>
                <c:ptCount val="4"/>
                <c:pt idx="0" formatCode="#,##0\ [$€-407];\-#,##0\ [$€-407]">
                  <c:v>21.123121309797909</c:v>
                </c:pt>
                <c:pt idx="2" formatCode="#,##0\ [$€-407];\-#,##0\ [$€-407]">
                  <c:v>28.164161746397212</c:v>
                </c:pt>
                <c:pt idx="3" formatCode="#,##0\ [$€-407];\-#,##0\ [$€-407]">
                  <c:v>28.164161746397212</c:v>
                </c:pt>
              </c:numCache>
            </c:numRef>
          </c:val>
          <c:extLst>
            <c:ext xmlns:c16="http://schemas.microsoft.com/office/drawing/2014/chart" uri="{C3380CC4-5D6E-409C-BE32-E72D297353CC}">
              <c16:uniqueId val="{00000003-6B01-41D8-AAC6-ED0B0A8E5DCE}"/>
            </c:ext>
          </c:extLst>
        </c:ser>
        <c:ser>
          <c:idx val="4"/>
          <c:order val="4"/>
          <c:tx>
            <c:strRef>
              <c:f>Summary!$E$53</c:f>
              <c:strCache>
                <c:ptCount val="1"/>
                <c:pt idx="0">
                  <c:v>WSHG</c:v>
                </c:pt>
              </c:strCache>
            </c:strRef>
          </c:tx>
          <c:spPr>
            <a:solidFill>
              <a:srgbClr val="DCA59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Summary!$F$48:$I$48</c:f>
              <c:strCache>
                <c:ptCount val="4"/>
                <c:pt idx="0">
                  <c:v>Average (accounting for TA size)</c:v>
                </c:pt>
                <c:pt idx="1">
                  <c:v>TA1</c:v>
                </c:pt>
                <c:pt idx="2">
                  <c:v>TA2</c:v>
                </c:pt>
                <c:pt idx="3">
                  <c:v>TA3 and 4</c:v>
                </c:pt>
              </c:strCache>
            </c:strRef>
          </c:cat>
          <c:val>
            <c:numRef>
              <c:f>Summary!$F$53:$I$53</c:f>
              <c:numCache>
                <c:formatCode>General</c:formatCode>
                <c:ptCount val="4"/>
                <c:pt idx="0" formatCode="#,##0\ [$€-407];\-#,##0\ [$€-407]">
                  <c:v>16.633540795399046</c:v>
                </c:pt>
                <c:pt idx="3" formatCode="#,##0\ [$€-407];\-#,##0\ [$€-407]">
                  <c:v>106.7057334044467</c:v>
                </c:pt>
              </c:numCache>
            </c:numRef>
          </c:val>
          <c:extLst>
            <c:ext xmlns:c16="http://schemas.microsoft.com/office/drawing/2014/chart" uri="{C3380CC4-5D6E-409C-BE32-E72D297353CC}">
              <c16:uniqueId val="{00000005-6B01-41D8-AAC6-ED0B0A8E5DCE}"/>
            </c:ext>
          </c:extLst>
        </c:ser>
        <c:dLbls>
          <c:showLegendKey val="0"/>
          <c:showVal val="0"/>
          <c:showCatName val="0"/>
          <c:showSerName val="0"/>
          <c:showPercent val="0"/>
          <c:showBubbleSize val="0"/>
        </c:dLbls>
        <c:gapWidth val="150"/>
        <c:overlap val="100"/>
        <c:axId val="643169904"/>
        <c:axId val="643170264"/>
      </c:barChart>
      <c:lineChart>
        <c:grouping val="standard"/>
        <c:varyColors val="0"/>
        <c:ser>
          <c:idx val="5"/>
          <c:order val="5"/>
          <c:tx>
            <c:strRef>
              <c:f>Summary!$E$54</c:f>
              <c:strCache>
                <c:ptCount val="1"/>
              </c:strCache>
            </c:strRef>
          </c:tx>
          <c:spPr>
            <a:ln w="28575" cap="rnd">
              <a:noFill/>
              <a:round/>
            </a:ln>
            <a:effectLst/>
          </c:spPr>
          <c:marker>
            <c:symbol val="circle"/>
            <c:size val="5"/>
            <c:spPr>
              <a:noFill/>
              <a:ln w="9525">
                <a:noFill/>
              </a:ln>
              <a:effectLst/>
            </c:spPr>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18-44CF-B023-F6DF0A3438FE}"/>
                </c:ext>
              </c:extLst>
            </c:dLbl>
            <c:dLbl>
              <c:idx val="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18-44CF-B023-F6DF0A3438FE}"/>
                </c:ext>
              </c:extLst>
            </c:dLbl>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18-44CF-B023-F6DF0A3438FE}"/>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18-44CF-B023-F6DF0A3438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Pero SemiBold" panose="020F06060202030303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Summary!$F$48:$I$48</c:f>
              <c:strCache>
                <c:ptCount val="4"/>
                <c:pt idx="0">
                  <c:v>Average (accounting for TA size)</c:v>
                </c:pt>
                <c:pt idx="1">
                  <c:v>TA1</c:v>
                </c:pt>
                <c:pt idx="2">
                  <c:v>TA2</c:v>
                </c:pt>
                <c:pt idx="3">
                  <c:v>TA3 and 4</c:v>
                </c:pt>
              </c:strCache>
            </c:strRef>
          </c:cat>
          <c:val>
            <c:numRef>
              <c:f>Summary!$F$54:$I$54</c:f>
              <c:numCache>
                <c:formatCode>#,##0\ [$€-407];\-#,##0\ [$€-407]</c:formatCode>
                <c:ptCount val="4"/>
                <c:pt idx="0">
                  <c:v>362.11103297813509</c:v>
                </c:pt>
                <c:pt idx="1">
                  <c:v>324.35437087293815</c:v>
                </c:pt>
                <c:pt idx="2">
                  <c:v>352.51853261933536</c:v>
                </c:pt>
                <c:pt idx="3">
                  <c:v>459.22426602378209</c:v>
                </c:pt>
              </c:numCache>
            </c:numRef>
          </c:val>
          <c:smooth val="0"/>
          <c:extLst>
            <c:ext xmlns:c16="http://schemas.microsoft.com/office/drawing/2014/chart" uri="{C3380CC4-5D6E-409C-BE32-E72D297353CC}">
              <c16:uniqueId val="{00000000-E1E1-4339-8E87-DB2A013700B9}"/>
            </c:ext>
          </c:extLst>
        </c:ser>
        <c:dLbls>
          <c:showLegendKey val="0"/>
          <c:showVal val="0"/>
          <c:showCatName val="0"/>
          <c:showSerName val="0"/>
          <c:showPercent val="0"/>
          <c:showBubbleSize val="0"/>
        </c:dLbls>
        <c:marker val="1"/>
        <c:smooth val="0"/>
        <c:axId val="643169904"/>
        <c:axId val="643170264"/>
      </c:lineChart>
      <c:catAx>
        <c:axId val="64316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70264"/>
        <c:crosses val="autoZero"/>
        <c:auto val="1"/>
        <c:lblAlgn val="ctr"/>
        <c:lblOffset val="100"/>
        <c:noMultiLvlLbl val="0"/>
      </c:catAx>
      <c:valAx>
        <c:axId val="643170264"/>
        <c:scaling>
          <c:orientation val="minMax"/>
        </c:scaling>
        <c:delete val="0"/>
        <c:axPos val="l"/>
        <c:majorGridlines>
          <c:spPr>
            <a:ln w="9525" cap="flat" cmpd="sng" algn="ctr">
              <a:solidFill>
                <a:schemeClr val="tx1">
                  <a:lumMod val="15000"/>
                  <a:lumOff val="85000"/>
                </a:schemeClr>
              </a:solidFill>
              <a:round/>
            </a:ln>
            <a:effectLst/>
          </c:spPr>
        </c:majorGridlines>
        <c:numFmt formatCode="#,##0\ [$€-407];\-#,##0\ [$€-407]"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316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29622</xdr:colOff>
      <xdr:row>64</xdr:row>
      <xdr:rowOff>17239</xdr:rowOff>
    </xdr:from>
    <xdr:to>
      <xdr:col>11</xdr:col>
      <xdr:colOff>75051</xdr:colOff>
      <xdr:row>82</xdr:row>
      <xdr:rowOff>33618</xdr:rowOff>
    </xdr:to>
    <xdr:graphicFrame macro="">
      <xdr:nvGraphicFramePr>
        <xdr:cNvPr id="2" name="Chart 5">
          <a:extLst>
            <a:ext uri="{FF2B5EF4-FFF2-40B4-BE49-F238E27FC236}">
              <a16:creationId xmlns:a16="http://schemas.microsoft.com/office/drawing/2014/main" id="{EA3ABE86-536E-40CE-A8D2-D59202229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90852</xdr:colOff>
      <xdr:row>4</xdr:row>
      <xdr:rowOff>221877</xdr:rowOff>
    </xdr:from>
    <xdr:to>
      <xdr:col>11</xdr:col>
      <xdr:colOff>204974</xdr:colOff>
      <xdr:row>16</xdr:row>
      <xdr:rowOff>1213303</xdr:rowOff>
    </xdr:to>
    <xdr:sp macro="" textlink="">
      <xdr:nvSpPr>
        <xdr:cNvPr id="51" name="TextBox 2">
          <a:extLst>
            <a:ext uri="{FF2B5EF4-FFF2-40B4-BE49-F238E27FC236}">
              <a16:creationId xmlns:a16="http://schemas.microsoft.com/office/drawing/2014/main" id="{43D434B4-9423-4756-A90D-64634B3DBD27}"/>
            </a:ext>
          </a:extLst>
        </xdr:cNvPr>
        <xdr:cNvSpPr txBox="1"/>
      </xdr:nvSpPr>
      <xdr:spPr>
        <a:xfrm>
          <a:off x="7994334" y="1106341"/>
          <a:ext cx="4423051" cy="3429373"/>
        </a:xfrm>
        <a:prstGeom prst="rect">
          <a:avLst/>
        </a:prstGeom>
        <a:solidFill>
          <a:sysClr val="window" lastClr="FFFFFF"/>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baseline="0">
              <a:solidFill>
                <a:schemeClr val="dk1"/>
              </a:solidFill>
              <a:latin typeface="Pero" panose="020F0506020203030304" pitchFamily="34" charset="0"/>
              <a:ea typeface="+mn-ea"/>
              <a:cs typeface="+mn-cs"/>
            </a:rPr>
            <a:t>HWG Summary/Interpretation: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00" b="0" i="0" u="none" strike="noStrike" kern="0" cap="none" spc="0" normalizeH="0" baseline="0" noProof="0">
              <a:ln>
                <a:noFill/>
              </a:ln>
              <a:solidFill>
                <a:prstClr val="black"/>
              </a:solidFill>
              <a:effectLst/>
              <a:uLnTx/>
              <a:uFillTx/>
              <a:latin typeface="Pero" panose="020F0506020203030304" pitchFamily="34" charset="0"/>
              <a:ea typeface="+mn-ea"/>
              <a:cs typeface="+mn-cs"/>
            </a:rPr>
            <a:t>The SROI forecast model is based on baseline data. It estimates</a:t>
          </a:r>
          <a:r>
            <a:rPr kumimoji="0" lang="en-US" sz="1000" b="1" i="0" u="none" strike="noStrike" kern="0" cap="none" spc="0" normalizeH="0" baseline="0" noProof="0">
              <a:ln>
                <a:noFill/>
              </a:ln>
              <a:solidFill>
                <a:prstClr val="black"/>
              </a:solidFill>
              <a:effectLst/>
              <a:uLnTx/>
              <a:uFillTx/>
              <a:latin typeface="Pero" panose="020F0506020203030304" pitchFamily="34" charset="0"/>
              <a:ea typeface="+mn-ea"/>
              <a:cs typeface="+mn-cs"/>
            </a:rPr>
            <a:t> total benefits of ca. 9,26 Mio € and compares them to the implementation costs of ca. 1,6 Mio € </a:t>
          </a:r>
          <a:r>
            <a:rPr kumimoji="0" lang="en-US" sz="1000" b="0" i="0" u="none" strike="noStrike" kern="0" cap="none" spc="0" normalizeH="0" baseline="0" noProof="0">
              <a:ln>
                <a:noFill/>
              </a:ln>
              <a:solidFill>
                <a:prstClr val="black"/>
              </a:solidFill>
              <a:effectLst/>
              <a:uLnTx/>
              <a:uFillTx/>
              <a:latin typeface="Pero" panose="020F0506020203030304" pitchFamily="34" charset="0"/>
              <a:ea typeface="+mn-ea"/>
              <a:cs typeface="+mn-cs"/>
            </a:rPr>
            <a:t>(values are discounted and deflated to real 2021 €).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00" b="0" i="0" u="none" strike="noStrike" kern="0" cap="none" spc="0" normalizeH="0" baseline="0" noProof="0">
              <a:ln>
                <a:noFill/>
              </a:ln>
              <a:solidFill>
                <a:prstClr val="black"/>
              </a:solidFill>
              <a:effectLst/>
              <a:uLnTx/>
              <a:uFillTx/>
              <a:latin typeface="Pero" panose="020F0506020203030304" pitchFamily="34" charset="0"/>
              <a:ea typeface="+mn-ea"/>
              <a:cs typeface="+mn-cs"/>
            </a:rPr>
            <a:t>The preliminary </a:t>
          </a:r>
          <a:r>
            <a:rPr kumimoji="0" lang="en-US" sz="1000" b="1" i="0" u="none" strike="noStrike" kern="0" cap="none" spc="0" normalizeH="0" baseline="0" noProof="0">
              <a:ln>
                <a:noFill/>
              </a:ln>
              <a:solidFill>
                <a:prstClr val="black"/>
              </a:solidFill>
              <a:effectLst/>
              <a:uLnTx/>
              <a:uFillTx/>
              <a:latin typeface="Pero" panose="020F0506020203030304" pitchFamily="34" charset="0"/>
              <a:ea typeface="+mn-ea"/>
              <a:cs typeface="+mn-cs"/>
            </a:rPr>
            <a:t>SROI result of 7,7 </a:t>
          </a:r>
          <a:r>
            <a:rPr kumimoji="0" lang="en-US" sz="1000" b="0" i="0" u="none" strike="noStrike" kern="0" cap="none" spc="0" normalizeH="0" baseline="0" noProof="0">
              <a:ln>
                <a:noFill/>
              </a:ln>
              <a:solidFill>
                <a:prstClr val="black"/>
              </a:solidFill>
              <a:effectLst/>
              <a:uLnTx/>
              <a:uFillTx/>
              <a:latin typeface="Pero" panose="020F0506020203030304" pitchFamily="34" charset="0"/>
              <a:ea typeface="+mn-ea"/>
              <a:cs typeface="+mn-cs"/>
            </a:rPr>
            <a:t>shows that under the current assumptions, income effects achieved by the project will significantly outperform the project investment.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00" b="0" i="0" u="none" strike="noStrike" kern="0" cap="none" spc="0" normalizeH="0" baseline="0" noProof="0">
              <a:ln>
                <a:noFill/>
              </a:ln>
              <a:solidFill>
                <a:prstClr val="black"/>
              </a:solidFill>
              <a:effectLst/>
              <a:uLnTx/>
              <a:uFillTx/>
              <a:latin typeface="Pero" panose="020F0506020203030304" pitchFamily="34" charset="0"/>
              <a:ea typeface="+mn-ea"/>
              <a:cs typeface="+mn-cs"/>
            </a:rPr>
            <a:t>In our model, </a:t>
          </a:r>
          <a:r>
            <a:rPr kumimoji="0" lang="en-US" sz="1000" b="1" i="0" u="none" strike="noStrike" kern="0" cap="none" spc="0" normalizeH="0" baseline="0" noProof="0">
              <a:ln>
                <a:noFill/>
              </a:ln>
              <a:solidFill>
                <a:prstClr val="black"/>
              </a:solidFill>
              <a:effectLst/>
              <a:uLnTx/>
              <a:uFillTx/>
              <a:latin typeface="Pero" panose="020F0506020203030304" pitchFamily="34" charset="0"/>
              <a:ea typeface="+mn-ea"/>
              <a:cs typeface="+mn-cs"/>
            </a:rPr>
            <a:t>the main income driver is the increased yield in coffee trough BP adoption and stumping.</a:t>
          </a:r>
          <a:r>
            <a:rPr kumimoji="0" lang="en-US" sz="1000" b="0" i="0" u="none" strike="noStrike" kern="0" cap="none" spc="0" normalizeH="0" baseline="0" noProof="0">
              <a:ln>
                <a:noFill/>
              </a:ln>
              <a:solidFill>
                <a:prstClr val="black"/>
              </a:solidFill>
              <a:effectLst/>
              <a:uLnTx/>
              <a:uFillTx/>
              <a:latin typeface="Pero" panose="020F0506020203030304" pitchFamily="34" charset="0"/>
              <a:ea typeface="+mn-ea"/>
              <a:cs typeface="+mn-cs"/>
            </a:rPr>
            <a:t> Yield effects of stumping are estimated based on Techoserve's monitoring data and might be over- or underestimating the actual impact. </a:t>
          </a:r>
          <a:r>
            <a:rPr lang="en-US" sz="1000" b="0" i="0" baseline="0">
              <a:solidFill>
                <a:schemeClr val="dk1"/>
              </a:solidFill>
              <a:effectLst/>
              <a:latin typeface="Pero" panose="020F0506020203030304" pitchFamily="34" charset="0"/>
              <a:ea typeface="+mn-ea"/>
              <a:cs typeface="+mn-cs"/>
            </a:rPr>
            <a:t>Under conservative assumptions on stumping yield impacts, the SROI drops to 3,2. </a:t>
          </a:r>
          <a:r>
            <a:rPr kumimoji="0" lang="en-US" sz="1000" b="0" i="0" u="none" strike="noStrike" kern="0" cap="none" spc="0" normalizeH="0" baseline="0" noProof="0">
              <a:ln>
                <a:noFill/>
              </a:ln>
              <a:solidFill>
                <a:prstClr val="black"/>
              </a:solidFill>
              <a:effectLst/>
              <a:uLnTx/>
              <a:uFillTx/>
              <a:latin typeface="Pero" panose="020F0506020203030304" pitchFamily="34" charset="0"/>
              <a:ea typeface="+mn-ea"/>
              <a:cs typeface="+mn-cs"/>
            </a:rPr>
            <a:t>Further, we do not know the yield effect of adoption of other Good Agricultural Practices GAPs in coffee and maize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00" b="0" i="0" u="none" strike="noStrike" kern="0" cap="none" spc="0" normalizeH="0" baseline="0" noProof="0">
              <a:ln>
                <a:noFill/>
              </a:ln>
              <a:solidFill>
                <a:prstClr val="black"/>
              </a:solidFill>
              <a:effectLst/>
              <a:uLnTx/>
              <a:uFillTx/>
              <a:latin typeface="Pero" panose="020F0506020203030304" pitchFamily="34" charset="0"/>
              <a:ea typeface="+mn-ea"/>
              <a:cs typeface="+mn-cs"/>
            </a:rPr>
            <a:t>Under the assumption of 35% ROI of loans and 95% of loans in active funding the Women Self-Help Groups (WSHG) approach is expected to have a high impact on hh income.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00" b="0" i="0" u="none" strike="noStrike" kern="0" cap="none" spc="0" normalizeH="0" baseline="0" noProof="0">
              <a:ln>
                <a:noFill/>
              </a:ln>
              <a:solidFill>
                <a:prstClr val="black"/>
              </a:solidFill>
              <a:effectLst/>
              <a:uLnTx/>
              <a:uFillTx/>
              <a:latin typeface="Pero" panose="020F0506020203030304" pitchFamily="34" charset="0"/>
              <a:ea typeface="+mn-ea"/>
              <a:cs typeface="+mn-cs"/>
            </a:rPr>
            <a:t>Accordingly, </a:t>
          </a:r>
          <a:r>
            <a:rPr kumimoji="0" lang="en-US" sz="1000" b="1" i="0" u="none" strike="noStrike" kern="0" cap="none" spc="0" normalizeH="0" baseline="0" noProof="0">
              <a:ln>
                <a:noFill/>
              </a:ln>
              <a:solidFill>
                <a:prstClr val="black"/>
              </a:solidFill>
              <a:effectLst/>
              <a:uLnTx/>
              <a:uFillTx/>
              <a:latin typeface="Pero" panose="020F0506020203030304" pitchFamily="34" charset="0"/>
              <a:ea typeface="+mn-ea"/>
              <a:cs typeface="+mn-cs"/>
            </a:rPr>
            <a:t>we asses the level of certainty of the model as low.</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0" i="0" baseline="0">
              <a:solidFill>
                <a:schemeClr val="dk1"/>
              </a:solidFill>
              <a:effectLst/>
              <a:latin typeface="Pero" panose="020F0506020203030304" pitchFamily="34" charset="0"/>
              <a:ea typeface="+mn-ea"/>
              <a:cs typeface="+mn-cs"/>
            </a:rPr>
            <a:t>However, the sensitivity analysis shows that the program is robust: </a:t>
          </a:r>
          <a:r>
            <a:rPr lang="en-US" sz="1000" b="1" i="0" baseline="0">
              <a:solidFill>
                <a:schemeClr val="dk1"/>
              </a:solidFill>
              <a:effectLst/>
              <a:latin typeface="Pero" panose="020F0506020203030304" pitchFamily="34" charset="0"/>
              <a:ea typeface="+mn-ea"/>
              <a:cs typeface="+mn-cs"/>
            </a:rPr>
            <a:t>even with conservative assumptions, the SROI stays above 2,8. </a:t>
          </a:r>
          <a:endParaRPr kumimoji="0" lang="en-US" sz="1000" b="1" i="0" u="none" strike="noStrike" kern="0" cap="none" spc="0" normalizeH="0" baseline="0" noProof="0">
            <a:ln>
              <a:noFill/>
            </a:ln>
            <a:solidFill>
              <a:prstClr val="black"/>
            </a:solidFill>
            <a:effectLst/>
            <a:uLnTx/>
            <a:uFillTx/>
            <a:latin typeface="Pero" panose="020F0506020203030304" pitchFamily="34" charset="0"/>
            <a:ea typeface="+mn-ea"/>
            <a:cs typeface="+mn-cs"/>
          </a:endParaRPr>
        </a:p>
      </xdr:txBody>
    </xdr:sp>
    <xdr:clientData/>
  </xdr:twoCellAnchor>
  <xdr:twoCellAnchor>
    <xdr:from>
      <xdr:col>1</xdr:col>
      <xdr:colOff>12464</xdr:colOff>
      <xdr:row>45</xdr:row>
      <xdr:rowOff>91164</xdr:rowOff>
    </xdr:from>
    <xdr:to>
      <xdr:col>3</xdr:col>
      <xdr:colOff>358734</xdr:colOff>
      <xdr:row>63</xdr:row>
      <xdr:rowOff>136071</xdr:rowOff>
    </xdr:to>
    <xdr:graphicFrame macro="">
      <xdr:nvGraphicFramePr>
        <xdr:cNvPr id="5" name="Chart 4">
          <a:extLst>
            <a:ext uri="{FF2B5EF4-FFF2-40B4-BE49-F238E27FC236}">
              <a16:creationId xmlns:a16="http://schemas.microsoft.com/office/drawing/2014/main" id="{1E674E25-AF08-451B-B753-588C00716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161551</xdr:colOff>
      <xdr:row>19</xdr:row>
      <xdr:rowOff>15406</xdr:rowOff>
    </xdr:from>
    <xdr:to>
      <xdr:col>11</xdr:col>
      <xdr:colOff>166687</xdr:colOff>
      <xdr:row>26</xdr:row>
      <xdr:rowOff>163605</xdr:rowOff>
    </xdr:to>
    <xdr:sp macro="" textlink="">
      <xdr:nvSpPr>
        <xdr:cNvPr id="14" name="TextBox 2">
          <a:extLst>
            <a:ext uri="{FF2B5EF4-FFF2-40B4-BE49-F238E27FC236}">
              <a16:creationId xmlns:a16="http://schemas.microsoft.com/office/drawing/2014/main" id="{5D16EE65-0F50-48DF-8D65-863AB3F83E21}"/>
            </a:ext>
          </a:extLst>
        </xdr:cNvPr>
        <xdr:cNvSpPr txBox="1"/>
      </xdr:nvSpPr>
      <xdr:spPr>
        <a:xfrm>
          <a:off x="6974727" y="4733082"/>
          <a:ext cx="5428784" cy="195234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Pero" panose="020F0506020203030304" pitchFamily="34" charset="0"/>
              <a:ea typeface="+mn-ea"/>
              <a:cs typeface="+mn-cs"/>
            </a:rPr>
            <a:t>*Level of certainty (Low): </a:t>
          </a:r>
          <a:endPar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sng" strike="noStrike" kern="0" cap="none" spc="0" normalizeH="0" baseline="0" noProof="0">
              <a:ln>
                <a:noFill/>
              </a:ln>
              <a:solidFill>
                <a:prstClr val="black"/>
              </a:solidFill>
              <a:effectLst/>
              <a:uLnTx/>
              <a:uFillTx/>
              <a:latin typeface="Pero" panose="020F0506020203030304" pitchFamily="34" charset="0"/>
              <a:ea typeface="+mn-ea"/>
              <a:cs typeface="+mn-cs"/>
            </a:rPr>
            <a:t>Evidence strength</a:t>
          </a:r>
          <a:r>
            <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rPr>
            <a:t>: No direct measurement of household income or  consumption expenditure. Income effects modeled from intermediate outcomes.  Weak evaluation design (observational, no counterfactual; small or non-representative samples).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rPr>
            <a:t>Impact/outcome estimates from very different contexts (low generalizability).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sng" strike="noStrike" kern="0" cap="none" spc="0" normalizeH="0" baseline="0" noProof="0">
              <a:ln>
                <a:noFill/>
              </a:ln>
              <a:solidFill>
                <a:prstClr val="black"/>
              </a:solidFill>
              <a:effectLst/>
              <a:uLnTx/>
              <a:uFillTx/>
              <a:latin typeface="Pero" panose="020F0506020203030304" pitchFamily="34" charset="0"/>
              <a:ea typeface="+mn-ea"/>
              <a:cs typeface="+mn-cs"/>
            </a:rPr>
            <a:t>Precision of impact estimates</a:t>
          </a:r>
          <a:r>
            <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rPr>
            <a:t>: Confidence interval (CI) width &gt; 60% of point estimate or no CI reported at all. Point estimates not statistically significant.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sng" strike="noStrike" kern="0" cap="none" spc="0" normalizeH="0" baseline="0" noProof="0">
              <a:ln>
                <a:noFill/>
              </a:ln>
              <a:solidFill>
                <a:prstClr val="black"/>
              </a:solidFill>
              <a:effectLst/>
              <a:uLnTx/>
              <a:uFillTx/>
              <a:latin typeface="Pero" panose="020F0506020203030304" pitchFamily="34" charset="0"/>
              <a:ea typeface="+mn-ea"/>
              <a:cs typeface="+mn-cs"/>
            </a:rPr>
            <a:t>Assumptions</a:t>
          </a:r>
          <a:r>
            <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rPr>
            <a:t>: Multiple key assumptions with high uncertainty (best guess).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sng" strike="noStrike" kern="0" cap="none" spc="0" normalizeH="0" baseline="0" noProof="0">
              <a:ln>
                <a:noFill/>
              </a:ln>
              <a:solidFill>
                <a:prstClr val="black"/>
              </a:solidFill>
              <a:effectLst/>
              <a:uLnTx/>
              <a:uFillTx/>
              <a:latin typeface="Pero" panose="020F0506020203030304" pitchFamily="34" charset="0"/>
              <a:ea typeface="+mn-ea"/>
              <a:cs typeface="+mn-cs"/>
            </a:rPr>
            <a:t>Sensitivity</a:t>
          </a:r>
          <a:r>
            <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rPr>
            <a:t>: SROI values highly sensitive to key uncertain parameters. Small or plaussible variations (e.g. +/- 10-20%) in key parameters lead to large changes in SROI values or even a change in sign</a:t>
          </a:r>
        </a:p>
      </xdr:txBody>
    </xdr:sp>
    <xdr:clientData/>
  </xdr:twoCellAnchor>
  <xdr:twoCellAnchor>
    <xdr:from>
      <xdr:col>3</xdr:col>
      <xdr:colOff>145584</xdr:colOff>
      <xdr:row>30</xdr:row>
      <xdr:rowOff>0</xdr:rowOff>
    </xdr:from>
    <xdr:to>
      <xdr:col>10</xdr:col>
      <xdr:colOff>355321</xdr:colOff>
      <xdr:row>30</xdr:row>
      <xdr:rowOff>750794</xdr:rowOff>
    </xdr:to>
    <xdr:sp macro="" textlink="">
      <xdr:nvSpPr>
        <xdr:cNvPr id="8" name="TextBox 2">
          <a:extLst>
            <a:ext uri="{FF2B5EF4-FFF2-40B4-BE49-F238E27FC236}">
              <a16:creationId xmlns:a16="http://schemas.microsoft.com/office/drawing/2014/main" id="{69890110-78EE-4485-B531-6867D31A1642}"/>
            </a:ext>
          </a:extLst>
        </xdr:cNvPr>
        <xdr:cNvSpPr txBox="1"/>
      </xdr:nvSpPr>
      <xdr:spPr>
        <a:xfrm>
          <a:off x="6275202" y="6869206"/>
          <a:ext cx="5050678" cy="75079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b="1" i="0" u="none" strike="noStrike" baseline="0">
              <a:solidFill>
                <a:schemeClr val="dk1"/>
              </a:solidFill>
              <a:latin typeface="Pero" panose="020F0506020203030304" pitchFamily="34" charset="0"/>
              <a:ea typeface="+mn-ea"/>
              <a:cs typeface="+mn-cs"/>
            </a:rPr>
            <a:t>*Methodological rigor: Excellent</a:t>
          </a:r>
          <a:r>
            <a:rPr lang="en-US" sz="1050" b="0" i="0" u="none" strike="noStrike" baseline="0">
              <a:solidFill>
                <a:schemeClr val="dk1"/>
              </a:solidFill>
              <a:latin typeface="Pero" panose="020F0506020203030304" pitchFamily="34" charset="0"/>
              <a:ea typeface="+mn-ea"/>
              <a:cs typeface="+mn-cs"/>
            </a:rPr>
            <a:t>	</a:t>
          </a:r>
        </a:p>
        <a:p>
          <a:pPr algn="l"/>
          <a:r>
            <a:rPr lang="en-US" sz="1100" b="0" i="0" baseline="0">
              <a:solidFill>
                <a:schemeClr val="dk1"/>
              </a:solidFill>
              <a:effectLst/>
              <a:latin typeface="Pero" panose="020F0506020203030304" pitchFamily="34" charset="0"/>
              <a:ea typeface="+mn-ea"/>
              <a:cs typeface="+mn-cs"/>
            </a:rPr>
            <a:t>Rigorous design with well-documented, robust methods that effectively address potential biases and support strong causal inferences</a:t>
          </a:r>
          <a:r>
            <a:rPr lang="en-US" sz="1100" b="0" i="0" baseline="0">
              <a:solidFill>
                <a:schemeClr val="dk1"/>
              </a:solidFill>
              <a:effectLst/>
              <a:latin typeface="+mn-lt"/>
              <a:ea typeface="+mn-ea"/>
              <a:cs typeface="+mn-cs"/>
            </a:rPr>
            <a:t>.</a:t>
          </a:r>
          <a:endParaRPr lang="en-US" sz="1050" b="0" i="0" u="none" strike="noStrike" baseline="0">
            <a:solidFill>
              <a:schemeClr val="dk1"/>
            </a:solidFill>
            <a:latin typeface="Pero" panose="020F0506020203030304" pitchFamily="34" charset="0"/>
            <a:ea typeface="+mn-ea"/>
            <a:cs typeface="+mn-cs"/>
          </a:endParaRPr>
        </a:p>
      </xdr:txBody>
    </xdr:sp>
    <xdr:clientData/>
  </xdr:twoCellAnchor>
  <xdr:twoCellAnchor editAs="oneCell">
    <xdr:from>
      <xdr:col>9</xdr:col>
      <xdr:colOff>412749</xdr:colOff>
      <xdr:row>0</xdr:row>
      <xdr:rowOff>97478</xdr:rowOff>
    </xdr:from>
    <xdr:to>
      <xdr:col>11</xdr:col>
      <xdr:colOff>57948</xdr:colOff>
      <xdr:row>2</xdr:row>
      <xdr:rowOff>130176</xdr:rowOff>
    </xdr:to>
    <xdr:pic>
      <xdr:nvPicPr>
        <xdr:cNvPr id="4" name="Grafik 3">
          <a:extLst>
            <a:ext uri="{FF2B5EF4-FFF2-40B4-BE49-F238E27FC236}">
              <a16:creationId xmlns:a16="http://schemas.microsoft.com/office/drawing/2014/main" id="{AF98E741-BE83-E532-AABC-431355416A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04562" y="97478"/>
          <a:ext cx="867575" cy="474023"/>
        </a:xfrm>
        <a:prstGeom prst="rect">
          <a:avLst/>
        </a:prstGeom>
      </xdr:spPr>
    </xdr:pic>
    <xdr:clientData/>
  </xdr:twoCellAnchor>
  <xdr:twoCellAnchor editAs="oneCell">
    <xdr:from>
      <xdr:col>5</xdr:col>
      <xdr:colOff>230186</xdr:colOff>
      <xdr:row>0</xdr:row>
      <xdr:rowOff>31750</xdr:rowOff>
    </xdr:from>
    <xdr:to>
      <xdr:col>9</xdr:col>
      <xdr:colOff>278296</xdr:colOff>
      <xdr:row>2</xdr:row>
      <xdr:rowOff>163513</xdr:rowOff>
    </xdr:to>
    <xdr:pic>
      <xdr:nvPicPr>
        <xdr:cNvPr id="9" name="Grafik 8" descr="Ein Bild, das Schrift, Grafiken, Logo, Design enthält.&#10;&#10;Automatisch generierte Beschreibung">
          <a:extLst>
            <a:ext uri="{FF2B5EF4-FFF2-40B4-BE49-F238E27FC236}">
              <a16:creationId xmlns:a16="http://schemas.microsoft.com/office/drawing/2014/main" id="{B26B8213-2E95-3B13-0329-489218A12346}"/>
            </a:ext>
          </a:extLst>
        </xdr:cNvPr>
        <xdr:cNvPicPr>
          <a:picLocks noChangeAspect="1"/>
        </xdr:cNvPicPr>
      </xdr:nvPicPr>
      <xdr:blipFill rotWithShape="1">
        <a:blip xmlns:r="http://schemas.openxmlformats.org/officeDocument/2006/relationships" r:embed="rId4"/>
        <a:srcRect t="16483" b="24374"/>
        <a:stretch>
          <a:fillRect/>
        </a:stretch>
      </xdr:blipFill>
      <xdr:spPr>
        <a:xfrm>
          <a:off x="8477249" y="31750"/>
          <a:ext cx="2669217" cy="579438"/>
        </a:xfrm>
        <a:prstGeom prst="rect">
          <a:avLst/>
        </a:prstGeom>
      </xdr:spPr>
    </xdr:pic>
    <xdr:clientData/>
  </xdr:twoCellAnchor>
  <xdr:twoCellAnchor>
    <xdr:from>
      <xdr:col>3</xdr:col>
      <xdr:colOff>519167</xdr:colOff>
      <xdr:row>45</xdr:row>
      <xdr:rowOff>91211</xdr:rowOff>
    </xdr:from>
    <xdr:to>
      <xdr:col>11</xdr:col>
      <xdr:colOff>66970</xdr:colOff>
      <xdr:row>63</xdr:row>
      <xdr:rowOff>129696</xdr:rowOff>
    </xdr:to>
    <xdr:graphicFrame macro="">
      <xdr:nvGraphicFramePr>
        <xdr:cNvPr id="3" name="Chart 2">
          <a:extLst>
            <a:ext uri="{FF2B5EF4-FFF2-40B4-BE49-F238E27FC236}">
              <a16:creationId xmlns:a16="http://schemas.microsoft.com/office/drawing/2014/main" id="{5E55A5D7-319C-47B1-8537-16BA85BDD4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1</xdr:row>
      <xdr:rowOff>162833</xdr:rowOff>
    </xdr:from>
    <xdr:to>
      <xdr:col>13</xdr:col>
      <xdr:colOff>173935</xdr:colOff>
      <xdr:row>25</xdr:row>
      <xdr:rowOff>160079</xdr:rowOff>
    </xdr:to>
    <xdr:pic>
      <xdr:nvPicPr>
        <xdr:cNvPr id="2" name="Picture 1">
          <a:extLst>
            <a:ext uri="{FF2B5EF4-FFF2-40B4-BE49-F238E27FC236}">
              <a16:creationId xmlns:a16="http://schemas.microsoft.com/office/drawing/2014/main" id="{C83415A9-EA45-0B52-6BF1-4FC4E072D1D5}"/>
            </a:ext>
          </a:extLst>
        </xdr:cNvPr>
        <xdr:cNvPicPr>
          <a:picLocks noChangeAspect="1"/>
        </xdr:cNvPicPr>
      </xdr:nvPicPr>
      <xdr:blipFill>
        <a:blip xmlns:r="http://schemas.openxmlformats.org/officeDocument/2006/relationships" r:embed="rId1"/>
        <a:stretch>
          <a:fillRect/>
        </a:stretch>
      </xdr:blipFill>
      <xdr:spPr>
        <a:xfrm>
          <a:off x="190501" y="403029"/>
          <a:ext cx="7520608" cy="4569246"/>
        </a:xfrm>
        <a:prstGeom prst="rect">
          <a:avLst/>
        </a:prstGeom>
      </xdr:spPr>
    </xdr:pic>
    <xdr:clientData/>
  </xdr:twoCellAnchor>
  <xdr:twoCellAnchor editAs="oneCell">
    <xdr:from>
      <xdr:col>0</xdr:col>
      <xdr:colOff>215349</xdr:colOff>
      <xdr:row>28</xdr:row>
      <xdr:rowOff>132522</xdr:rowOff>
    </xdr:from>
    <xdr:to>
      <xdr:col>16</xdr:col>
      <xdr:colOff>366627</xdr:colOff>
      <xdr:row>60</xdr:row>
      <xdr:rowOff>16566</xdr:rowOff>
    </xdr:to>
    <xdr:pic>
      <xdr:nvPicPr>
        <xdr:cNvPr id="3" name="Picture 2">
          <a:extLst>
            <a:ext uri="{FF2B5EF4-FFF2-40B4-BE49-F238E27FC236}">
              <a16:creationId xmlns:a16="http://schemas.microsoft.com/office/drawing/2014/main" id="{666D7D15-F055-8B33-53B7-B51A402530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5349" y="5565913"/>
          <a:ext cx="9427800" cy="5980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112212</xdr:colOff>
      <xdr:row>22</xdr:row>
      <xdr:rowOff>154284</xdr:rowOff>
    </xdr:from>
    <xdr:to>
      <xdr:col>14</xdr:col>
      <xdr:colOff>324971</xdr:colOff>
      <xdr:row>29</xdr:row>
      <xdr:rowOff>144760</xdr:rowOff>
    </xdr:to>
    <xdr:sp macro="" textlink="">
      <xdr:nvSpPr>
        <xdr:cNvPr id="3" name="TextBox 2">
          <a:extLst>
            <a:ext uri="{FF2B5EF4-FFF2-40B4-BE49-F238E27FC236}">
              <a16:creationId xmlns:a16="http://schemas.microsoft.com/office/drawing/2014/main" id="{6B3B80F3-9FE0-4725-B51C-18D2A7236D43}"/>
            </a:ext>
          </a:extLst>
        </xdr:cNvPr>
        <xdr:cNvSpPr txBox="1"/>
      </xdr:nvSpPr>
      <xdr:spPr>
        <a:xfrm>
          <a:off x="112212" y="4345284"/>
          <a:ext cx="8370641" cy="132397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*Methodological rigor: </a:t>
          </a:r>
          <a:endParaRPr lang="en-US" sz="1050" b="0" i="0" u="none" strike="noStrike" baseline="0">
            <a:solidFill>
              <a:schemeClr val="dk1"/>
            </a:solidFill>
            <a:latin typeface="Pero" panose="020F0506020203030304" pitchFamily="34" charset="0"/>
            <a:ea typeface="+mn-ea"/>
            <a:cs typeface="+mn-cs"/>
          </a:endParaRPr>
        </a:p>
        <a:p>
          <a:r>
            <a:rPr lang="en-US" sz="1050" b="0" i="0" u="none" strike="noStrike" baseline="0">
              <a:solidFill>
                <a:schemeClr val="dk1"/>
              </a:solidFill>
              <a:latin typeface="Pero" panose="020F0506020203030304" pitchFamily="34" charset="0"/>
              <a:ea typeface="+mn-ea"/>
              <a:cs typeface="+mn-cs"/>
            </a:rPr>
            <a:t>Fair	Design and methods have significant limitations that reduce confidence in causal claims.</a:t>
          </a:r>
        </a:p>
        <a:p>
          <a:r>
            <a:rPr lang="en-US" sz="1050" b="0" i="0" u="none" strike="noStrike" baseline="0">
              <a:solidFill>
                <a:schemeClr val="dk1"/>
              </a:solidFill>
              <a:latin typeface="Pero" panose="020F0506020203030304" pitchFamily="34" charset="0"/>
              <a:ea typeface="+mn-ea"/>
              <a:cs typeface="+mn-cs"/>
            </a:rPr>
            <a:t>Good	Design is generally appropriate, with clear and justified sampling and analytical methods, though some limitations remain	Assumptions: Some substantiated assumptions (with some form of support based on available evidence or logical reasoning).</a:t>
          </a:r>
        </a:p>
        <a:p>
          <a:r>
            <a:rPr lang="en-US" sz="1050" b="0" i="0" u="none" strike="noStrike" baseline="0">
              <a:solidFill>
                <a:schemeClr val="dk1"/>
              </a:solidFill>
              <a:latin typeface="Pero" panose="020F0506020203030304" pitchFamily="34" charset="0"/>
              <a:ea typeface="+mn-ea"/>
              <a:cs typeface="+mn-cs"/>
            </a:rPr>
            <a:t>Excellent	Rigorous design with well-documented, robust methods that effectively address potential biases and support strong causal 	inferences.</a:t>
          </a:r>
        </a:p>
      </xdr:txBody>
    </xdr:sp>
    <xdr:clientData/>
  </xdr:twoCellAnchor>
  <xdr:twoCellAnchor>
    <xdr:from>
      <xdr:col>0</xdr:col>
      <xdr:colOff>120242</xdr:colOff>
      <xdr:row>36</xdr:row>
      <xdr:rowOff>121040</xdr:rowOff>
    </xdr:from>
    <xdr:to>
      <xdr:col>14</xdr:col>
      <xdr:colOff>336177</xdr:colOff>
      <xdr:row>45</xdr:row>
      <xdr:rowOff>44840</xdr:rowOff>
    </xdr:to>
    <xdr:sp macro="" textlink="">
      <xdr:nvSpPr>
        <xdr:cNvPr id="4" name="TextBox 3">
          <a:extLst>
            <a:ext uri="{FF2B5EF4-FFF2-40B4-BE49-F238E27FC236}">
              <a16:creationId xmlns:a16="http://schemas.microsoft.com/office/drawing/2014/main" id="{4455F293-3DF0-4105-A176-A1C066979F02}"/>
            </a:ext>
          </a:extLst>
        </xdr:cNvPr>
        <xdr:cNvSpPr txBox="1"/>
      </xdr:nvSpPr>
      <xdr:spPr>
        <a:xfrm>
          <a:off x="120242" y="6979040"/>
          <a:ext cx="8373817"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*Discount rate</a:t>
          </a:r>
          <a:r>
            <a:rPr lang="en-US" sz="1050">
              <a:solidFill>
                <a:schemeClr val="dk1"/>
              </a:solidFill>
              <a:effectLst/>
              <a:latin typeface="Pero" panose="020F0506020203030304" pitchFamily="34" charset="0"/>
              <a:ea typeface="+mn-ea"/>
              <a:cs typeface="+mn-cs"/>
            </a:rPr>
            <a:t>:</a:t>
          </a:r>
          <a:r>
            <a:rPr lang="en-US" sz="1050" baseline="0">
              <a:solidFill>
                <a:schemeClr val="dk1"/>
              </a:solidFill>
              <a:effectLst/>
              <a:latin typeface="Pero" panose="020F0506020203030304" pitchFamily="34" charset="0"/>
              <a:ea typeface="+mn-ea"/>
              <a:cs typeface="+mn-cs"/>
            </a:rPr>
            <a:t> </a:t>
          </a:r>
          <a:r>
            <a:rPr lang="en-US" sz="1050">
              <a:solidFill>
                <a:schemeClr val="dk1"/>
              </a:solidFill>
              <a:effectLst/>
              <a:latin typeface="Pero" panose="020F0506020203030304" pitchFamily="34" charset="0"/>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50">
              <a:solidFill>
                <a:schemeClr val="dk1"/>
              </a:solidFill>
              <a:effectLst/>
              <a:latin typeface="Pero" panose="020F0506020203030304" pitchFamily="34" charset="0"/>
              <a:ea typeface="+mn-ea"/>
              <a:cs typeface="+mn-cs"/>
            </a:rPr>
            <a:t>Looking at the median discount rate, calculated based on the SOC, across countries suggests that anything between 10-12 percent is a reasonable rate for discounting the costs and benefits of rural livelihoods programs in developing countries. We've chosen to set the discount rate to 10 percent to ensure consistency across all programs in the analysis. (For a list of discount rates used by various governments and organizations, see Table 2 of Dhaliwal et al., 2013.)</a:t>
          </a:r>
        </a:p>
        <a:p>
          <a:r>
            <a:rPr lang="en-US" sz="1050">
              <a:solidFill>
                <a:schemeClr val="dk1"/>
              </a:solidFill>
              <a:effectLst/>
              <a:latin typeface="Pero" panose="020F0506020203030304" pitchFamily="34" charset="0"/>
              <a:ea typeface="+mn-ea"/>
              <a:cs typeface="+mn-cs"/>
            </a:rPr>
            <a:t> </a:t>
          </a:r>
        </a:p>
      </xdr:txBody>
    </xdr:sp>
    <xdr:clientData/>
  </xdr:twoCellAnchor>
  <xdr:twoCellAnchor>
    <xdr:from>
      <xdr:col>0</xdr:col>
      <xdr:colOff>108851</xdr:colOff>
      <xdr:row>58</xdr:row>
      <xdr:rowOff>100555</xdr:rowOff>
    </xdr:from>
    <xdr:to>
      <xdr:col>14</xdr:col>
      <xdr:colOff>347383</xdr:colOff>
      <xdr:row>89</xdr:row>
      <xdr:rowOff>179294</xdr:rowOff>
    </xdr:to>
    <xdr:sp macro="" textlink="">
      <xdr:nvSpPr>
        <xdr:cNvPr id="5" name="TextBox 4">
          <a:extLst>
            <a:ext uri="{FF2B5EF4-FFF2-40B4-BE49-F238E27FC236}">
              <a16:creationId xmlns:a16="http://schemas.microsoft.com/office/drawing/2014/main" id="{85A00B3F-FD3B-4358-B4CC-BCFE69485213}"/>
            </a:ext>
          </a:extLst>
        </xdr:cNvPr>
        <xdr:cNvSpPr txBox="1"/>
      </xdr:nvSpPr>
      <xdr:spPr>
        <a:xfrm>
          <a:off x="108851" y="11149555"/>
          <a:ext cx="8396414" cy="598423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Pero" panose="020F0506020203030304" pitchFamily="34" charset="0"/>
              <a:ea typeface="+mn-ea"/>
              <a:cs typeface="+mn-cs"/>
            </a:rPr>
            <a:t>*Yield benefit of GAP adoption without stumping: </a:t>
          </a:r>
          <a:r>
            <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rPr>
            <a:t>We have no evidence on the yield effect of the adoption of GAPs other than stumping. The UCAT RCT reportsof a TechnoServe coffee program ITT esimates on coffee yield per tree between 4.1% and 10.5% of a training program on regenerative agriculture practices in coffee including rejuvenation in Uganda. The current yield impact estimates are based solely on assumptions of Digital Green.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Pero" panose="020F0506020203030304" pitchFamily="34" charset="0"/>
              <a:ea typeface="+mn-ea"/>
              <a:cs typeface="+mn-cs"/>
            </a:rPr>
            <a:t>*Unstumped yield</a:t>
          </a:r>
          <a:r>
            <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rPr>
            <a:t>: The projected yield from TNS is underlying major assumptions that will be verified during a yield study conducted by IFRPI in 2026/2027 harvest season. For example, the average yield per productive tree in Gera and Gomma  in Jimma (Technoserve C23 cohort) was found to be on average ~0,5 kg which is less than half of the reported 1,1kg in the TNS model.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Pero" panose="020F0506020203030304" pitchFamily="34" charset="0"/>
              <a:ea typeface="+mn-ea"/>
              <a:cs typeface="+mn-cs"/>
            </a:rPr>
            <a:t>*Yield benefit of stumping: </a:t>
          </a:r>
          <a:r>
            <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rPr>
            <a:t>For the yield benefit of stumping we follow results from a TNS yield study that compared the yield of unstumped and stumped trees on a small number of demo-plots over time. It is assumed that these effects reflect the yield benefit of stumping plus the adoption of other good agricultural practices. The HWG yield pilot study conducted with Laterite in Sidama during the third harvest after stumping found an unconditional impact of 40% of stumping on coffee yield. After accounting for complementary best practices, tree characteristics and location, coffee trees on stumped plots yield 21-23% more compared to trees on unstumped coffee plots. This is significantly lower than the findings of the TNS yield study. We still rely on the TNS study, as the HWG pliot yield study only covered one point in time.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Pero" panose="020F0506020203030304" pitchFamily="34" charset="0"/>
              <a:ea typeface="+mn-ea"/>
              <a:cs typeface="+mn-cs"/>
            </a:rPr>
            <a:t>*Dynamic yield benefits: </a:t>
          </a:r>
          <a:r>
            <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rPr>
            <a:t>We apply findings from a previous evaluation of TechnoServe's coffee training program in East Africa (IPE Tripe Line, 2017) to model the time path of impact. This allows us to approximate the return on the training over a period of 10 years. The Triple Line evaluation concluded that 63% of the improvement in practice adoption achieved by the end of the training period remained 5 years later. Assuming the decay in farmers' practice adoption is linear implies an annual decay of 7.3% of the initial improvement.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noProof="0">
            <a:ln>
              <a:noFill/>
            </a:ln>
            <a:solidFill>
              <a:prstClr val="black"/>
            </a:solidFill>
            <a:effectLst/>
            <a:uLnTx/>
            <a:uFillTx/>
            <a:latin typeface="Pero" panose="020F0506020203030304" pitchFamily="34" charset="0"/>
            <a:ea typeface="+mn-ea"/>
            <a:cs typeface="+mn-cs"/>
          </a:endParaRPr>
        </a:p>
        <a:p>
          <a:r>
            <a:rPr lang="en-US" sz="1050" b="1">
              <a:latin typeface="Pero" panose="020F0506020203030304" pitchFamily="34" charset="0"/>
            </a:rPr>
            <a:t>*Yield benefit of replanting / planting: </a:t>
          </a:r>
          <a:r>
            <a:rPr lang="en-US" sz="1050" b="0">
              <a:latin typeface="Pero" panose="020F0506020203030304" pitchFamily="34" charset="0"/>
            </a:rPr>
            <a:t>Given current data constraints, our calculation relies on simplifying assumptions and distinguishes between two main use cases.</a:t>
          </a:r>
        </a:p>
        <a:p>
          <a:r>
            <a:rPr lang="en-US" sz="1050" b="0">
              <a:latin typeface="Pero" panose="020F0506020203030304" pitchFamily="34" charset="0"/>
            </a:rPr>
            <a:t>1. Uprooting and replanting of old coffee trees:</a:t>
          </a:r>
          <a:r>
            <a:rPr lang="en-US" sz="1050" b="0" baseline="0">
              <a:latin typeface="Pero" panose="020F0506020203030304" pitchFamily="34" charset="0"/>
            </a:rPr>
            <a:t> </a:t>
          </a:r>
          <a:r>
            <a:rPr lang="en-US" sz="1050" b="0">
              <a:latin typeface="Pero" panose="020F0506020203030304" pitchFamily="34" charset="0"/>
            </a:rPr>
            <a:t>We currently assume that 50% of planted seedlings are used to replace old, low-productivity coffee trees. For this group, we estimate a long-run yield increase of 25%. </a:t>
          </a:r>
        </a:p>
        <a:p>
          <a:r>
            <a:rPr lang="en-US" sz="1050" b="0">
              <a:latin typeface="Pero" panose="020F0506020203030304" pitchFamily="34" charset="0"/>
            </a:rPr>
            <a:t>2. Planting coffee on new areas (previously under other crops): For the remaining 50% of seedlings, we assume coffee is planted on land previously used for other crops. In this case, we apply yield estimates for unstumped coffee trees and subtract opportunity costs from foregone crop production. Based on field observations in Jimma, maize is currently used as the reference crop for estimating opportunity costs.</a:t>
          </a:r>
        </a:p>
        <a:p>
          <a:r>
            <a:rPr lang="en-US" sz="1050" b="0">
              <a:latin typeface="Pero" panose="020F0506020203030304" pitchFamily="34" charset="0"/>
            </a:rPr>
            <a:t>A third potential scenario—planting coffee seedlings within existing coffee fields to increase tree density—is not included in the analysis.</a:t>
          </a:r>
        </a:p>
        <a:p>
          <a:pPr marL="0" marR="0" lvl="0" indent="0" defTabSz="914400" eaLnBrk="1" fontAlgn="auto" latinLnBrk="0" hangingPunct="1">
            <a:lnSpc>
              <a:spcPct val="100000"/>
            </a:lnSpc>
            <a:spcBef>
              <a:spcPts val="0"/>
            </a:spcBef>
            <a:spcAft>
              <a:spcPts val="0"/>
            </a:spcAft>
            <a:buClrTx/>
            <a:buSzTx/>
            <a:buFontTx/>
            <a:buNone/>
            <a:tabLst/>
            <a:defRPr/>
          </a:pPr>
          <a:r>
            <a:rPr lang="en-US" sz="1050" b="0">
              <a:latin typeface="Pero" panose="020F0506020203030304" pitchFamily="34" charset="0"/>
            </a:rPr>
            <a:t>We acknowledge that these assumptions are strong. Base</a:t>
          </a:r>
          <a:r>
            <a:rPr lang="en-US" sz="1050" b="0" baseline="0">
              <a:latin typeface="Pero" panose="020F0506020203030304" pitchFamily="34" charset="0"/>
            </a:rPr>
            <a:t> case yield estimates are taken from the unstumped coffee tree yields in TNS yield study </a:t>
          </a:r>
          <a:r>
            <a:rPr lang="en-US" sz="1050" b="0">
              <a:solidFill>
                <a:schemeClr val="dk1"/>
              </a:solidFill>
              <a:effectLst/>
              <a:latin typeface="Pero" panose="020F0506020203030304" pitchFamily="34" charset="0"/>
              <a:ea typeface="+mn-ea"/>
              <a:cs typeface="+mn-cs"/>
            </a:rPr>
            <a:t>while abstracting from potential heterogeneity in tree age, soil conditions, and complementary management practices. </a:t>
          </a:r>
          <a:r>
            <a:rPr lang="en-US" sz="1050" b="0">
              <a:latin typeface="Pero" panose="020F0506020203030304" pitchFamily="34" charset="0"/>
            </a:rPr>
            <a:t>For example, TNS yield estimates are partly based on older trees, while coffee planted on former maize plots may face degraded soils, potentially limiting yield prospects. Under the current assumptions, planting on new land accounts for a substantial share of the estimated income potential.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50" b="1" i="0" u="none" strike="noStrike" kern="0" cap="none" spc="0" normalizeH="0" baseline="0" noProof="0">
            <a:ln>
              <a:noFill/>
            </a:ln>
            <a:solidFill>
              <a:prstClr val="black"/>
            </a:solidFill>
            <a:effectLst/>
            <a:uLnTx/>
            <a:uFillTx/>
            <a:latin typeface="Pero" panose="020F0506020203030304" pitchFamily="34" charset="0"/>
            <a:ea typeface="+mn-ea"/>
            <a:cs typeface="+mn-cs"/>
          </a:endParaRPr>
        </a:p>
      </xdr:txBody>
    </xdr:sp>
    <xdr:clientData/>
  </xdr:twoCellAnchor>
  <xdr:twoCellAnchor>
    <xdr:from>
      <xdr:col>0</xdr:col>
      <xdr:colOff>128087</xdr:colOff>
      <xdr:row>45</xdr:row>
      <xdr:rowOff>113111</xdr:rowOff>
    </xdr:from>
    <xdr:to>
      <xdr:col>14</xdr:col>
      <xdr:colOff>324971</xdr:colOff>
      <xdr:row>51</xdr:row>
      <xdr:rowOff>132615</xdr:rowOff>
    </xdr:to>
    <xdr:sp macro="" textlink="">
      <xdr:nvSpPr>
        <xdr:cNvPr id="6" name="TextBox 5">
          <a:extLst>
            <a:ext uri="{FF2B5EF4-FFF2-40B4-BE49-F238E27FC236}">
              <a16:creationId xmlns:a16="http://schemas.microsoft.com/office/drawing/2014/main" id="{32152CC4-72D8-4795-94B4-C7992FADA32F}"/>
            </a:ext>
          </a:extLst>
        </xdr:cNvPr>
        <xdr:cNvSpPr txBox="1"/>
      </xdr:nvSpPr>
      <xdr:spPr>
        <a:xfrm>
          <a:off x="128087" y="8685611"/>
          <a:ext cx="8354766" cy="116250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Pero" panose="020F0506020203030304" pitchFamily="34" charset="0"/>
              <a:ea typeface="+mn-ea"/>
              <a:cs typeface="+mn-cs"/>
            </a:rPr>
            <a:t>*Inflation</a:t>
          </a:r>
          <a:r>
            <a:rPr lang="en-US" sz="1050" b="1" baseline="0">
              <a:solidFill>
                <a:schemeClr val="dk1"/>
              </a:solidFill>
              <a:effectLst/>
              <a:latin typeface="Pero" panose="020F0506020203030304" pitchFamily="34" charset="0"/>
              <a:ea typeface="+mn-ea"/>
              <a:cs typeface="+mn-cs"/>
            </a:rPr>
            <a:t>: </a:t>
          </a:r>
          <a:r>
            <a:rPr lang="en-US" sz="1100" b="0">
              <a:solidFill>
                <a:schemeClr val="dk1"/>
              </a:solidFill>
              <a:effectLst/>
              <a:latin typeface="Pero" panose="020F0506020203030304" pitchFamily="34" charset="0"/>
              <a:ea typeface="+mn-ea"/>
              <a:cs typeface="+mn-cs"/>
            </a:rPr>
            <a:t>We present cash flows in real values, deflating coffee prices and labor costs (for the calculation of profits from coffee) as well as project costs back to real value in base year 2023, using average annual LCU inflation rate over time elapsed between base year and the incurrence of benefits/costs. We take the present value of these cash flows and then inflate forward to the year of analysis (2021), using average annual LCU inflation rate over time elapsed between base year and year of analysis. We selected 2021 as year of analysis because it aligns with the latest international poverty line and purchasing power parity (PPP) update (World Bank Group 2025).</a:t>
          </a:r>
          <a:endParaRPr lang="en-US" sz="1050" b="0">
            <a:solidFill>
              <a:schemeClr val="dk1"/>
            </a:solidFill>
            <a:effectLst/>
            <a:latin typeface="Pero" panose="020F0506020203030304" pitchFamily="34" charset="0"/>
            <a:ea typeface="+mn-ea"/>
            <a:cs typeface="+mn-cs"/>
          </a:endParaRPr>
        </a:p>
      </xdr:txBody>
    </xdr:sp>
    <xdr:clientData/>
  </xdr:twoCellAnchor>
  <xdr:twoCellAnchor>
    <xdr:from>
      <xdr:col>0</xdr:col>
      <xdr:colOff>113076</xdr:colOff>
      <xdr:row>0</xdr:row>
      <xdr:rowOff>73348</xdr:rowOff>
    </xdr:from>
    <xdr:to>
      <xdr:col>14</xdr:col>
      <xdr:colOff>302269</xdr:colOff>
      <xdr:row>22</xdr:row>
      <xdr:rowOff>103077</xdr:rowOff>
    </xdr:to>
    <xdr:sp macro="" textlink="">
      <xdr:nvSpPr>
        <xdr:cNvPr id="7" name="TextBox 2">
          <a:extLst>
            <a:ext uri="{FF2B5EF4-FFF2-40B4-BE49-F238E27FC236}">
              <a16:creationId xmlns:a16="http://schemas.microsoft.com/office/drawing/2014/main" id="{8B744B86-F119-4960-936B-4E71EAE38739}"/>
            </a:ext>
          </a:extLst>
        </xdr:cNvPr>
        <xdr:cNvSpPr txBox="1"/>
      </xdr:nvSpPr>
      <xdr:spPr>
        <a:xfrm>
          <a:off x="113076" y="73348"/>
          <a:ext cx="8347075" cy="422072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50" b="1" i="0" u="none" strike="noStrike" baseline="0">
              <a:solidFill>
                <a:schemeClr val="dk1"/>
              </a:solidFill>
              <a:latin typeface="Pero" panose="020F0506020203030304" pitchFamily="34" charset="0"/>
              <a:ea typeface="+mn-ea"/>
              <a:cs typeface="+mn-cs"/>
            </a:rPr>
            <a:t>*Level of certainty (lowest of the four dimensions evidence strengths, precision of impact estimates, assumptions, and sensitivity): </a:t>
          </a:r>
          <a:endParaRPr lang="en-US" sz="1050" b="0" i="0" u="none" strike="noStrike" baseline="0">
            <a:solidFill>
              <a:schemeClr val="dk1"/>
            </a:solidFill>
            <a:latin typeface="Pero" panose="020F0506020203030304" pitchFamily="34" charset="0"/>
            <a:ea typeface="+mn-ea"/>
            <a:cs typeface="+mn-cs"/>
          </a:endParaRPr>
        </a:p>
        <a:p>
          <a:r>
            <a:rPr lang="en-US" sz="1050" b="0" i="0" u="none" strike="noStrike" baseline="0">
              <a:solidFill>
                <a:schemeClr val="dk1"/>
              </a:solidFill>
              <a:latin typeface="Pero" panose="020F0506020203030304" pitchFamily="34" charset="0"/>
              <a:ea typeface="+mn-ea"/>
              <a:cs typeface="+mn-cs"/>
            </a:rPr>
            <a:t>Low	</a:t>
          </a:r>
          <a:r>
            <a:rPr lang="en-US" sz="1050" b="0" i="0" u="sng" strike="noStrike" baseline="0">
              <a:solidFill>
                <a:schemeClr val="dk1"/>
              </a:solidFill>
              <a:latin typeface="Pero" panose="020F0506020203030304" pitchFamily="34" charset="0"/>
              <a:ea typeface="+mn-ea"/>
              <a:cs typeface="+mn-cs"/>
            </a:rPr>
            <a:t>Evidence strength</a:t>
          </a:r>
          <a:r>
            <a:rPr lang="en-US" sz="1050" b="0" i="0" u="none" strike="noStrike" baseline="0">
              <a:solidFill>
                <a:schemeClr val="dk1"/>
              </a:solidFill>
              <a:latin typeface="Pero" panose="020F0506020203030304" pitchFamily="34" charset="0"/>
              <a:ea typeface="+mn-ea"/>
              <a:cs typeface="+mn-cs"/>
            </a:rPr>
            <a:t>: No direct measurement of household income or consumption expenditure. Income effects modeled from 	intermediate outcomes. </a:t>
          </a:r>
        </a:p>
        <a:p>
          <a:r>
            <a:rPr lang="en-US" sz="1050" b="0" i="0" u="none" strike="noStrike" baseline="0">
              <a:solidFill>
                <a:schemeClr val="dk1"/>
              </a:solidFill>
              <a:latin typeface="Pero" panose="020F0506020203030304" pitchFamily="34" charset="0"/>
              <a:ea typeface="+mn-ea"/>
              <a:cs typeface="+mn-cs"/>
            </a:rPr>
            <a:t>	Weak evaluation design (observational, no counterfactual; small or non-representative samples). </a:t>
          </a:r>
        </a:p>
        <a:p>
          <a:r>
            <a:rPr lang="en-US" sz="1050" b="0" i="0" u="none" strike="noStrike" baseline="0">
              <a:solidFill>
                <a:schemeClr val="dk1"/>
              </a:solidFill>
              <a:latin typeface="Pero" panose="020F0506020203030304" pitchFamily="34" charset="0"/>
              <a:ea typeface="+mn-ea"/>
              <a:cs typeface="+mn-cs"/>
            </a:rPr>
            <a:t>	Impact/outcome estimates from very different contexts (low generalizability).</a:t>
          </a:r>
        </a:p>
        <a:p>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Precision of impact estimates</a:t>
          </a:r>
          <a:r>
            <a:rPr lang="en-US" sz="1050" b="0" i="0" u="none" strike="noStrike" baseline="0">
              <a:solidFill>
                <a:schemeClr val="dk1"/>
              </a:solidFill>
              <a:latin typeface="Pero" panose="020F0506020203030304" pitchFamily="34" charset="0"/>
              <a:ea typeface="+mn-ea"/>
              <a:cs typeface="+mn-cs"/>
            </a:rPr>
            <a:t>: Confidence interval (CI) width &gt; 60% of point estimate or no CI reported at all. Point estimates 	not statistically significant.</a:t>
          </a:r>
        </a:p>
        <a:p>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Assumptions</a:t>
          </a:r>
          <a:r>
            <a:rPr lang="en-US" sz="1050" b="0" i="0" u="none" strike="noStrike" baseline="0">
              <a:solidFill>
                <a:schemeClr val="dk1"/>
              </a:solidFill>
              <a:latin typeface="Pero" panose="020F0506020203030304" pitchFamily="34" charset="0"/>
              <a:ea typeface="+mn-ea"/>
              <a:cs typeface="+mn-cs"/>
            </a:rPr>
            <a:t>: Multiple key assumptions with high uncertainty (best guess).</a:t>
          </a:r>
        </a:p>
        <a:p>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Sensitivity</a:t>
          </a:r>
          <a:r>
            <a:rPr lang="en-US" sz="1050" b="0" i="0" u="none" strike="noStrike" baseline="0">
              <a:solidFill>
                <a:schemeClr val="dk1"/>
              </a:solidFill>
              <a:latin typeface="Pero" panose="020F0506020203030304" pitchFamily="34" charset="0"/>
              <a:ea typeface="+mn-ea"/>
              <a:cs typeface="+mn-cs"/>
            </a:rPr>
            <a:t>: SROI values highly sensitive to key uncertain parameters. Small or plaussible variations (e.g. +/- 10-20%) in key 	parameters lead to large changes in SROI values or even a change in sign</a:t>
          </a:r>
        </a:p>
        <a:p>
          <a:r>
            <a:rPr lang="en-US" sz="1050" b="0" i="0" u="none" strike="noStrike" baseline="0">
              <a:solidFill>
                <a:schemeClr val="dk1"/>
              </a:solidFill>
              <a:latin typeface="Pero" panose="020F0506020203030304" pitchFamily="34" charset="0"/>
              <a:ea typeface="+mn-ea"/>
              <a:cs typeface="+mn-cs"/>
            </a:rPr>
            <a:t>Medium	</a:t>
          </a:r>
          <a:r>
            <a:rPr lang="en-US" sz="1050" b="0" i="0" u="sng" strike="noStrike" baseline="0">
              <a:solidFill>
                <a:schemeClr val="dk1"/>
              </a:solidFill>
              <a:latin typeface="Pero" panose="020F0506020203030304" pitchFamily="34" charset="0"/>
              <a:ea typeface="+mn-ea"/>
              <a:cs typeface="+mn-cs"/>
            </a:rPr>
            <a:t>Evidence strength</a:t>
          </a:r>
          <a:r>
            <a:rPr lang="en-US" sz="1050" b="0" i="0" u="none" strike="noStrike" baseline="0">
              <a:solidFill>
                <a:schemeClr val="dk1"/>
              </a:solidFill>
              <a:latin typeface="Pero" panose="020F0506020203030304" pitchFamily="34" charset="0"/>
              <a:ea typeface="+mn-ea"/>
              <a:cs typeface="+mn-cs"/>
            </a:rPr>
            <a:t>: Impact estimates based on self-reported income or validated proxy measures. </a:t>
          </a:r>
        </a:p>
        <a:p>
          <a:r>
            <a:rPr lang="en-US" sz="1050" b="0" i="0" u="none" strike="noStrike" baseline="0">
              <a:solidFill>
                <a:schemeClr val="dk1"/>
              </a:solidFill>
              <a:latin typeface="Pero" panose="020F0506020203030304" pitchFamily="34" charset="0"/>
              <a:ea typeface="+mn-ea"/>
              <a:cs typeface="+mn-cs"/>
            </a:rPr>
            <a:t>	Observational or quasi-experimental evaluation design with some attempt at causal inference.</a:t>
          </a:r>
          <a:br>
            <a:rPr lang="en-US" sz="1050" b="0" i="0" u="none" strike="noStrike" baseline="0">
              <a:solidFill>
                <a:schemeClr val="dk1"/>
              </a:solidFill>
              <a:latin typeface="Pero" panose="020F0506020203030304" pitchFamily="34" charset="0"/>
              <a:ea typeface="+mn-ea"/>
              <a:cs typeface="+mn-cs"/>
            </a:rPr>
          </a:br>
          <a:r>
            <a:rPr lang="en-US" sz="1050" b="0" i="0" u="none" strike="noStrike" baseline="0">
              <a:solidFill>
                <a:schemeClr val="dk1"/>
              </a:solidFill>
              <a:latin typeface="Pero" panose="020F0506020203030304" pitchFamily="34" charset="0"/>
              <a:ea typeface="+mn-ea"/>
              <a:cs typeface="+mn-cs"/>
            </a:rPr>
            <a:t>	Impact estimates from similar contexts or adapted with reasoning.</a:t>
          </a:r>
        </a:p>
        <a:p>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Precision of impact estimates</a:t>
          </a:r>
          <a:r>
            <a:rPr lang="en-US" sz="1050" b="0" i="0" u="none" strike="noStrike" baseline="0">
              <a:solidFill>
                <a:schemeClr val="dk1"/>
              </a:solidFill>
              <a:latin typeface="Pero" panose="020F0506020203030304" pitchFamily="34" charset="0"/>
              <a:ea typeface="+mn-ea"/>
              <a:cs typeface="+mn-cs"/>
            </a:rPr>
            <a:t>: Moderately wide CI (CI width 30-60%). Borderline statistical significance of impact estimates.</a:t>
          </a:r>
        </a:p>
        <a:p>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Assumptions</a:t>
          </a:r>
          <a:r>
            <a:rPr lang="en-US" sz="1050" b="0" i="0" u="none" strike="noStrike" baseline="0">
              <a:solidFill>
                <a:schemeClr val="dk1"/>
              </a:solidFill>
              <a:latin typeface="Pero" panose="020F0506020203030304" pitchFamily="34" charset="0"/>
              <a:ea typeface="+mn-ea"/>
              <a:cs typeface="+mn-cs"/>
            </a:rPr>
            <a:t>: Some substantiated assumptions (with some form of support based on available evidence or logical reasoning). 	</a:t>
          </a:r>
        </a:p>
        <a:p>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Sensitivity</a:t>
          </a:r>
          <a:r>
            <a:rPr lang="en-US" sz="1050" b="0" i="0" u="none" strike="noStrike" baseline="0">
              <a:solidFill>
                <a:schemeClr val="dk1"/>
              </a:solidFill>
              <a:latin typeface="Pero" panose="020F0506020203030304" pitchFamily="34" charset="0"/>
              <a:ea typeface="+mn-ea"/>
              <a:cs typeface="+mn-cs"/>
            </a:rPr>
            <a:t>: SROI values are moderately sensitive to key parameters. Reasonable variation in inputs leads to noticeable but not 	decision-changing shifts in ROI.</a:t>
          </a:r>
        </a:p>
        <a:p>
          <a:r>
            <a:rPr lang="en-US" sz="1050" b="0" i="0" u="none" strike="noStrike" baseline="0">
              <a:solidFill>
                <a:schemeClr val="dk1"/>
              </a:solidFill>
              <a:latin typeface="Pero" panose="020F0506020203030304" pitchFamily="34" charset="0"/>
              <a:ea typeface="+mn-ea"/>
              <a:cs typeface="+mn-cs"/>
            </a:rPr>
            <a:t>High	</a:t>
          </a:r>
          <a:r>
            <a:rPr lang="en-US" sz="1050" b="0" i="0" u="sng" strike="noStrike" baseline="0">
              <a:solidFill>
                <a:schemeClr val="dk1"/>
              </a:solidFill>
              <a:latin typeface="Pero" panose="020F0506020203030304" pitchFamily="34" charset="0"/>
              <a:ea typeface="+mn-ea"/>
              <a:cs typeface="+mn-cs"/>
            </a:rPr>
            <a:t>Evidence strength</a:t>
          </a:r>
          <a:r>
            <a:rPr lang="en-US" sz="1050" b="0" i="0" u="none" strike="noStrike" baseline="0">
              <a:solidFill>
                <a:schemeClr val="dk1"/>
              </a:solidFill>
              <a:latin typeface="Pero" panose="020F0506020203030304" pitchFamily="34" charset="0"/>
              <a:ea typeface="+mn-ea"/>
              <a:cs typeface="+mn-cs"/>
            </a:rPr>
            <a:t>: Direct measurement of household consumption expenditure. </a:t>
          </a:r>
          <a:br>
            <a:rPr lang="en-US" sz="1050" b="0" i="0" u="none" strike="noStrike" baseline="0">
              <a:solidFill>
                <a:schemeClr val="dk1"/>
              </a:solidFill>
              <a:latin typeface="Pero" panose="020F0506020203030304" pitchFamily="34" charset="0"/>
              <a:ea typeface="+mn-ea"/>
              <a:cs typeface="+mn-cs"/>
            </a:rPr>
          </a:br>
          <a:r>
            <a:rPr lang="en-US" sz="1050" b="0" i="0" u="none" strike="noStrike" baseline="0">
              <a:solidFill>
                <a:schemeClr val="dk1"/>
              </a:solidFill>
              <a:latin typeface="Pero" panose="020F0506020203030304" pitchFamily="34" charset="0"/>
              <a:ea typeface="+mn-ea"/>
              <a:cs typeface="+mn-cs"/>
            </a:rPr>
            <a:t>	Rigorous experimental/quasi-experimental design with strong causal identification.</a:t>
          </a:r>
          <a:br>
            <a:rPr lang="en-US" sz="1050" b="0" i="0" u="none" strike="noStrike" baseline="0">
              <a:solidFill>
                <a:schemeClr val="dk1"/>
              </a:solidFill>
              <a:latin typeface="Pero" panose="020F0506020203030304" pitchFamily="34" charset="0"/>
              <a:ea typeface="+mn-ea"/>
              <a:cs typeface="+mn-cs"/>
            </a:rPr>
          </a:br>
          <a:r>
            <a:rPr lang="en-US" sz="1050" b="0" i="0" u="none" strike="noStrike" baseline="0">
              <a:solidFill>
                <a:schemeClr val="dk1"/>
              </a:solidFill>
              <a:latin typeface="Pero" panose="020F0506020203030304" pitchFamily="34" charset="0"/>
              <a:ea typeface="+mn-ea"/>
              <a:cs typeface="+mn-cs"/>
            </a:rPr>
            <a:t>	Impact estimates from coffee-growing households in East Africa or validated external validity.</a:t>
          </a:r>
        </a:p>
        <a:p>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Precision of impact estimates</a:t>
          </a:r>
          <a:r>
            <a:rPr lang="en-US" sz="1050" b="0" i="0" u="none" strike="noStrike" baseline="0">
              <a:solidFill>
                <a:schemeClr val="dk1"/>
              </a:solidFill>
              <a:latin typeface="Pero" panose="020F0506020203030304" pitchFamily="34" charset="0"/>
              <a:ea typeface="+mn-ea"/>
              <a:cs typeface="+mn-cs"/>
            </a:rPr>
            <a:t>: Income estimates significant at 5% (p&lt;0.05) with narrow confidence intervals (i.e., CI width &lt; 	31% of the point estimate).</a:t>
          </a:r>
        </a:p>
        <a:p>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Assumptions</a:t>
          </a:r>
          <a:r>
            <a:rPr lang="en-US" sz="1050" b="0" i="0" u="none" strike="noStrike" baseline="0">
              <a:solidFill>
                <a:schemeClr val="dk1"/>
              </a:solidFill>
              <a:latin typeface="Pero" panose="020F0506020203030304" pitchFamily="34" charset="0"/>
              <a:ea typeface="+mn-ea"/>
              <a:cs typeface="+mn-cs"/>
            </a:rPr>
            <a:t>: All key assumptions are empirically grounded or sensitivity-tested.</a:t>
          </a:r>
        </a:p>
        <a:p>
          <a:r>
            <a:rPr lang="en-US" sz="1050" b="0" i="0" u="none" strike="noStrike" baseline="0">
              <a:solidFill>
                <a:schemeClr val="dk1"/>
              </a:solidFill>
              <a:latin typeface="Pero" panose="020F0506020203030304" pitchFamily="34" charset="0"/>
              <a:ea typeface="+mn-ea"/>
              <a:cs typeface="+mn-cs"/>
            </a:rPr>
            <a:t>	</a:t>
          </a:r>
          <a:r>
            <a:rPr lang="en-US" sz="1050" b="0" i="0" u="sng" strike="noStrike" baseline="0">
              <a:solidFill>
                <a:schemeClr val="dk1"/>
              </a:solidFill>
              <a:latin typeface="Pero" panose="020F0506020203030304" pitchFamily="34" charset="0"/>
              <a:ea typeface="+mn-ea"/>
              <a:cs typeface="+mn-cs"/>
            </a:rPr>
            <a:t>Sensitivity</a:t>
          </a:r>
          <a:r>
            <a:rPr lang="en-US" sz="1050" b="0" i="0" u="none" strike="noStrike" baseline="0">
              <a:solidFill>
                <a:schemeClr val="dk1"/>
              </a:solidFill>
              <a:latin typeface="Pero" panose="020F0506020203030304" pitchFamily="34" charset="0"/>
              <a:ea typeface="+mn-ea"/>
              <a:cs typeface="+mn-cs"/>
            </a:rPr>
            <a:t>: SROI values are robust to sensitivity analysis. Changes in inputs lead to only modest changes in SROI values, and 	conclusions remain consistent.</a:t>
          </a:r>
        </a:p>
      </xdr:txBody>
    </xdr:sp>
    <xdr:clientData/>
  </xdr:twoCellAnchor>
  <xdr:twoCellAnchor>
    <xdr:from>
      <xdr:col>0</xdr:col>
      <xdr:colOff>107983</xdr:colOff>
      <xdr:row>30</xdr:row>
      <xdr:rowOff>23768</xdr:rowOff>
    </xdr:from>
    <xdr:to>
      <xdr:col>14</xdr:col>
      <xdr:colOff>324971</xdr:colOff>
      <xdr:row>35</xdr:row>
      <xdr:rowOff>179294</xdr:rowOff>
    </xdr:to>
    <xdr:sp macro="" textlink="">
      <xdr:nvSpPr>
        <xdr:cNvPr id="2" name="TextBox 1">
          <a:extLst>
            <a:ext uri="{FF2B5EF4-FFF2-40B4-BE49-F238E27FC236}">
              <a16:creationId xmlns:a16="http://schemas.microsoft.com/office/drawing/2014/main" id="{38A744EC-3B43-41E9-A1DB-DB080CD1C7C7}"/>
            </a:ext>
          </a:extLst>
        </xdr:cNvPr>
        <xdr:cNvSpPr txBox="1"/>
      </xdr:nvSpPr>
      <xdr:spPr>
        <a:xfrm>
          <a:off x="107983" y="5738768"/>
          <a:ext cx="8374870" cy="110802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Pero" panose="020F0506020203030304" pitchFamily="34" charset="0"/>
              <a:ea typeface="+mn-ea"/>
              <a:cs typeface="+mn-cs"/>
            </a:rPr>
            <a:t>Impact measure*: </a:t>
          </a:r>
          <a:r>
            <a:rPr lang="en-US" sz="1100" b="0" i="0" u="none" strike="noStrike" baseline="0">
              <a:solidFill>
                <a:schemeClr val="dk1"/>
              </a:solidFill>
              <a:latin typeface="Pero" panose="020F0506020203030304" pitchFamily="34" charset="0"/>
              <a:ea typeface="+mn-ea"/>
              <a:cs typeface="+mn-cs"/>
            </a:rPr>
            <a:t>The forecast does not provide data on total household income. Instead, it focuses on the intermediate outcome of adoption status of good agricultural practices. We assume yield effects of practice adoption to calcuate coffee revenues, costs associated with practice adoption to calculate coffee and maize profits and that changes in practices adoption do not affect other income-gernerating activities of the household, so that a change in coffee and maize profits translates directly into an equal change in total household income.</a:t>
          </a:r>
        </a:p>
      </xdr:txBody>
    </xdr:sp>
    <xdr:clientData/>
  </xdr:twoCellAnchor>
  <xdr:twoCellAnchor>
    <xdr:from>
      <xdr:col>0</xdr:col>
      <xdr:colOff>112060</xdr:colOff>
      <xdr:row>52</xdr:row>
      <xdr:rowOff>0</xdr:rowOff>
    </xdr:from>
    <xdr:to>
      <xdr:col>14</xdr:col>
      <xdr:colOff>324972</xdr:colOff>
      <xdr:row>58</xdr:row>
      <xdr:rowOff>18616</xdr:rowOff>
    </xdr:to>
    <xdr:sp macro="" textlink="">
      <xdr:nvSpPr>
        <xdr:cNvPr id="8" name="TextBox 7">
          <a:extLst>
            <a:ext uri="{FF2B5EF4-FFF2-40B4-BE49-F238E27FC236}">
              <a16:creationId xmlns:a16="http://schemas.microsoft.com/office/drawing/2014/main" id="{5DE6B75A-0854-4D19-AFF2-791CED69C3EB}"/>
            </a:ext>
          </a:extLst>
        </xdr:cNvPr>
        <xdr:cNvSpPr txBox="1"/>
      </xdr:nvSpPr>
      <xdr:spPr>
        <a:xfrm>
          <a:off x="112060" y="9906000"/>
          <a:ext cx="8370794" cy="116161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baseline="0">
              <a:solidFill>
                <a:schemeClr val="dk1"/>
              </a:solidFill>
              <a:effectLst/>
              <a:latin typeface="Pero" panose="020F0506020203030304" pitchFamily="34" charset="0"/>
              <a:ea typeface="+mn-ea"/>
              <a:cs typeface="+mn-cs"/>
            </a:rPr>
            <a:t>*Non-implementation costs share: </a:t>
          </a:r>
          <a:r>
            <a:rPr lang="en-US" sz="1050" b="0">
              <a:latin typeface="Pero" panose="020F0506020203030304" pitchFamily="34" charset="0"/>
            </a:rPr>
            <a:t>This parameter captures the share of the total project budget allocated to costs not directly related to project implementation — such as administrative overhead, institutional support functions, or organizational indirect costs applied by the implementing organization. In the base case, this share is set to 0%, meaning the full budget is treated as the cost base for the SROI calculation. This is the most conservative assumption, as it results in the highest total costs relative to impact and therefore the lowest SROI. Applying a non-implementation cost share reduces the effective cost base by excluding the portion of the budget not directly needed for implementing the program. Higher values therefore result in a higher SROI</a:t>
          </a:r>
          <a:r>
            <a:rPr lang="en-US" sz="1050"/>
            <a:t>.</a:t>
          </a:r>
        </a:p>
        <a:p>
          <a:endParaRPr lang="en-US" sz="1050" b="0">
            <a:solidFill>
              <a:schemeClr val="dk1"/>
            </a:solidFill>
            <a:effectLst/>
            <a:latin typeface="Pero" panose="020F0506020203030304" pitchFamily="34" charset="0"/>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_TNS03/06%20MEL/01_SROI/2601_TNS03_JCP_Impact%20Model.xlsx" TargetMode="External"/><Relationship Id="rId2" Type="http://schemas.openxmlformats.org/officeDocument/2006/relationships/externalLinkPath" Target="https://herewegrow.sharepoint.com/sites/herewegrow.org/Freigegebene%20Dokumente/01%20Projekte/01%20Laufend/D_TNS03/06%20MEL/01_SROI/2601_TNS03_JCP_Impact%20Model.xlsx" TargetMode="External"/><Relationship Id="rId1" Type="http://schemas.openxmlformats.org/officeDocument/2006/relationships/externalLinkPath" Target="/sites/herewegrow.org/Freigegebene%20Dokumente/01%20Projekte/01%20Laufend/D_TNS03/06%20MEL/01_SROI/2601_TNS03_JCP_Impact%20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sheetName val="SROI"/>
      <sheetName val="Assumptions"/>
      <sheetName val="ToC"/>
      <sheetName val="Info"/>
    </sheetNames>
    <sheetDataSet>
      <sheetData sheetId="0"/>
      <sheetData sheetId="1"/>
      <sheetData sheetId="2">
        <row r="48">
          <cell r="H48">
            <v>451.31900000000002</v>
          </cell>
        </row>
      </sheetData>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Kühling, Marlene" id="{FE1B7D74-7FA0-4979-B336-409E6FCDAE9B}" userId="S::mkuehling@herewegrow.org::2654acc4-f93b-4a61-a09f-215039356081" providerId="AD"/>
  <person displayName="Gutiérrez, Marlene" id="{871B903D-15B6-43C0-AB5D-A01658C352D8}" userId="S::mgutierrez@herewegrow.org::2654acc4-f93b-4a61-a09f-21503935608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6" dT="2026-06-08T12:27:53.91" personId="{871B903D-15B6-43C0-AB5D-A01658C352D8}" id="{FB38E375-667D-47D4-935C-55B3850BBA37}">
    <text>50% Yield benefit of stumping (assumption realization rate of TNS model)  ; -10% Coffee Price Change</text>
  </threadedComment>
  <threadedComment ref="B27" dT="2026-06-08T12:28:06.14" personId="{871B903D-15B6-43C0-AB5D-A01658C352D8}" id="{A2DD7E51-F7E1-4680-BBF5-1BDBF9198A72}">
    <text>100% Yield benefit of stumping (assumption realization rate of TNS model) ; +10% Coffee Price Change</text>
  </threadedComment>
</ThreadedComments>
</file>

<file path=xl/threadedComments/threadedComment2.xml><?xml version="1.0" encoding="utf-8"?>
<ThreadedComments xmlns="http://schemas.microsoft.com/office/spreadsheetml/2018/threadedcomments" xmlns:x="http://schemas.openxmlformats.org/spreadsheetml/2006/main">
  <threadedComment ref="C17" dT="2026-06-08T08:21:27.60" personId="{871B903D-15B6-43C0-AB5D-A01658C352D8}" id="{4634C71C-3738-4437-A035-62F15783694A}">
    <text>TNS SROI model and interviews during field visits</text>
  </threadedComment>
  <threadedComment ref="C18" dT="2026-06-08T08:21:42.79" personId="{871B903D-15B6-43C0-AB5D-A01658C352D8}" id="{AFADC3C1-0FF2-4B8F-BF49-C756ACB373E2}">
    <text>Interviews during field visits</text>
  </threadedComment>
  <threadedComment ref="F21" dT="2026-05-13T15:26:09.69" personId="{871B903D-15B6-43C0-AB5D-A01658C352D8}" id="{EF704FA5-B07C-4810-ACB5-36B778D49305}">
    <text>For rates after 2022, we take the 5-year average daily labor rate from 2018-2022.</text>
  </threadedComment>
  <threadedComment ref="C22" dT="2026-05-13T15:25:33.80" personId="{871B903D-15B6-43C0-AB5D-A01658C352D8}" id="{C9A60295-788D-46D9-AF88-140B5AB978ED}">
    <text>2020: C2019 Endline (p. 51)</text>
  </threadedComment>
  <threadedComment ref="D22" dT="2026-05-13T15:25:46.84" personId="{871B903D-15B6-43C0-AB5D-A01658C352D8}" id="{0293D4CD-B3A8-49D1-9E68-25301097BD66}">
    <text>2021: average 2020-2022</text>
  </threadedComment>
  <threadedComment ref="E22" dT="2026-05-13T15:25:58.36" personId="{871B903D-15B6-43C0-AB5D-A01658C352D8}" id="{4656BD80-1D79-46D2-869D-C2A5F4ED6020}">
    <text>2022: C2020 Endline (p.34)</text>
  </threadedComment>
  <threadedComment ref="F22" dT="2026-05-13T15:32:11.72" personId="{871B903D-15B6-43C0-AB5D-A01658C352D8}" id="{EDD1407E-6F16-44C2-8319-C27B0EF7D46A}">
    <text xml:space="preserve">TNS JCP C22 Endline own calculation: mean daily wage rate for weeding
</text>
  </threadedComment>
  <threadedComment ref="B37" dT="2026-06-04T15:55:40.72" personId="{871B903D-15B6-43C0-AB5D-A01658C352D8}" id="{AFAA3F3A-46F8-4764-AD32-5BC17C355871}">
    <text>yields of improved coffee varieties are estimated to be 25–29% higher than those of traditional (local) varieties. In this calculation, yield data for unstumped trees from TechnoServe are used as the baseline and multiplied by a factor of 1.25 to approximate the expected yields of newly planted improved varieties.
It should be noted that the absolute yields observed in Diro and Erko (2019) were substantially lower, with maximum yields of approximately 1 kg of fresh cherry per tree.</text>
  </threadedComment>
  <threadedComment ref="I40" dT="2026-05-13T15:13:44.59" personId="{871B903D-15B6-43C0-AB5D-A01658C352D8}" id="{F4C38132-CAAC-418A-90FB-2C79CA16AC35}">
    <text>For prices after 2025 we take the 5-year average coffee price from 2021-2025.</text>
  </threadedComment>
  <threadedComment ref="C41" dT="2026-05-13T15:12:13.68" personId="{871B903D-15B6-43C0-AB5D-A01658C352D8}" id="{0A53B6F2-3CD0-455D-ACF3-6E00C7190ED8}">
    <text>2020: C2019 Endline (p.45)</text>
  </threadedComment>
  <threadedComment ref="D41" dT="2026-05-13T15:12:28.13" personId="{871B903D-15B6-43C0-AB5D-A01658C352D8}" id="{524A5D95-6FB3-4DE7-B2D4-1F4433A3180D}">
    <text xml:space="preserve"> 2021: C022 Baseline (p.47) </text>
  </threadedComment>
  <threadedComment ref="E41" dT="2026-05-13T15:12:44.92" personId="{871B903D-15B6-43C0-AB5D-A01658C352D8}" id="{FDE5F3AA-84C5-40B5-96FE-E140F95A33FA}">
    <text xml:space="preserve"> C2023 Baseline (p. ii)</text>
  </threadedComment>
  <threadedComment ref="F41" dT="2026-05-13T15:13:01.23" personId="{871B903D-15B6-43C0-AB5D-A01658C352D8}" id="{2DCCDF8A-4262-4EAD-9394-32C0BE8740FD}">
    <text>2023: EL C2022</text>
  </threadedComment>
  <threadedComment ref="G41" dT="2026-05-13T15:13:12.27" personId="{871B903D-15B6-43C0-AB5D-A01658C352D8}" id="{191FF8B6-58F3-4D47-BC20-8857F6C653A2}">
    <text xml:space="preserve">Technoserve own data provided from Jimma region
</text>
  </threadedComment>
  <threadedComment ref="H41" dT="2026-05-13T15:13:26.75" personId="{871B903D-15B6-43C0-AB5D-A01658C352D8}" id="{1DEEFF16-A500-42DC-8578-A077A74967C3}">
    <text xml:space="preserve">Zonal Agriculture (Department of Market Linkage) and the Zonal Trade Office.
</text>
  </threadedComment>
  <threadedComment ref="H41" dT="2026-06-08T08:29:03.05" personId="{871B903D-15B6-43C0-AB5D-A01658C352D8}" id="{7684517C-4CF6-414D-9A6E-A550A152266A}" parentId="{1DEEFF16-A500-42DC-8578-A077A74967C3}">
    <text>To be updated with evaluation data</text>
  </threadedComment>
  <threadedComment ref="C46" dT="2025-08-15T13:04:34.09" personId="{871B903D-15B6-43C0-AB5D-A01658C352D8}" id="{587FC704-86E8-4647-ACB8-C8F18B8CBBF1}">
    <text>https://reliefweb.int/report/ethiopia/ethiopia-price-bulletin-september-2020?utm_source=chatgpt.com</text>
    <extLst>
      <x:ext xmlns:xltc2="http://schemas.microsoft.com/office/spreadsheetml/2020/threadedcomments2" uri="{F7C98A9C-CBB3-438F-8F68-D28B6AF4A901}">
        <xltc2:checksum>2908368283</xltc2:checksum>
        <xltc2:hyperlink startIndex="0" length="99" url="https://reliefweb.int/report/ethiopia/ethiopia-price-bulletin-september-2020?utm_source=chatgpt.com"/>
      </x:ext>
    </extLst>
  </threadedComment>
  <threadedComment ref="D46" dT="2025-08-15T13:05:30.33" personId="{871B903D-15B6-43C0-AB5D-A01658C352D8}" id="{6790C41D-427A-4377-92A8-9CB50499A67F}">
    <text>https://reliefweb.int/report/ethiopia/ethiopia-price-bulletin-december-2021?utm_source=chatgpt.com</text>
    <extLst>
      <x:ext xmlns:xltc2="http://schemas.microsoft.com/office/spreadsheetml/2020/threadedcomments2" uri="{F7C98A9C-CBB3-438F-8F68-D28B6AF4A901}">
        <xltc2:checksum>1703885213</xltc2:checksum>
        <xltc2:hyperlink startIndex="0" length="98" url="https://reliefweb.int/report/ethiopia/ethiopia-price-bulletin-december-2021?utm_source=chatgpt.com"/>
      </x:ext>
    </extLst>
  </threadedComment>
  <threadedComment ref="F46" dT="2025-08-15T13:08:27.57" personId="{871B903D-15B6-43C0-AB5D-A01658C352D8}" id="{B24A3F7C-422C-47FF-86F8-3DF952A58AD3}">
    <text>IFPRI DG IICoF Baseline Report</text>
  </threadedComment>
  <threadedComment ref="G46" dT="2026-05-18T13:06:32.35" personId="{871B903D-15B6-43C0-AB5D-A01658C352D8}" id="{733DCB5B-7F39-4FEC-ADF4-43884474924E}">
    <text xml:space="preserve">Digital Green; from Jimma Zonal Agriculture (Department of Market Linkage) and the Zonal Trade Office.
</text>
  </threadedComment>
  <threadedComment ref="H46" dT="2026-05-18T13:06:36.45" personId="{871B903D-15B6-43C0-AB5D-A01658C352D8}" id="{E714502D-AB23-4659-9876-0A2B9BC1AA37}">
    <text>Digital Green; from Jimma Zonal Agriculture (Department of Market Linkage) and the Zonal Trade Office.</text>
  </threadedComment>
  <threadedComment ref="I46" dT="2026-05-18T13:06:42.68" personId="{871B903D-15B6-43C0-AB5D-A01658C352D8}" id="{18997ADD-E695-4F2F-BC7B-3FB86D20A266}">
    <text>Digital Green; from Jimma Zonal Agriculture (Department of Market Linkage) and the Zonal Trade Office.</text>
  </threadedComment>
</ThreadedComments>
</file>

<file path=xl/threadedComments/threadedComment3.xml><?xml version="1.0" encoding="utf-8"?>
<ThreadedComments xmlns="http://schemas.microsoft.com/office/spreadsheetml/2018/threadedcomments" xmlns:x="http://schemas.openxmlformats.org/spreadsheetml/2006/main">
  <threadedComment ref="B9" dT="2026-06-08T08:10:07.68" personId="{871B903D-15B6-43C0-AB5D-A01658C352D8}" id="{625AE7DB-E28D-4EE5-AE02-6DEAE043E6F0}">
    <text xml:space="preserve">The assumption realization rate indicates how much of the TNS model's projected value is reflected in observed field data. A rate of 100% means field outcomes fully match the original model assumptions; lower rates indicate a gap between projected and observed values.
We test yield assumptions as the evaluation data consistently shows lower yields than the TNS model projections, we apply a corresponding assumption realization rate to adjust the SROI calculation accordingly. This allows us to assess how sensitive the overall return estimate is to the accuracy of underlying agronomic assumptions.
</text>
  </threadedComment>
  <threadedComment ref="B47" dT="2026-02-03T16:44:34.11" personId="{871B903D-15B6-43C0-AB5D-A01658C352D8}" id="{EE47D0C9-5102-4A89-B59F-B14C9280B67E}">
    <text>As of July 2023, a living income (i.e., the income required for a basic decent living) for a typical rural household in the Jimma Zone was estimated at:
ETB 198,144 per year (~USD 3,624) (approx. monthly Birr 16,512).  (Anker Research: chrome-extension://efaidnbmnnnibpcajpcglclefindmkaj/https://ico.org/global-knowledge-hub/wp-content/uploads/2025/03/Ethiopia.pdf)</text>
  </threadedComment>
  <threadedComment ref="E70" dT="2024-12-02T15:45:04.44" personId="{FE1B7D74-7FA0-4979-B336-409E6FCDAE9B}" id="{341A7916-1D49-4BDA-9F50-35AE8F149FC4}">
    <text>Likely overestimating of costs by DG therefore set to zero in profit calculation</text>
  </threadedComment>
  <threadedComment ref="C74" dT="2026-04-23T08:02:01.76" personId="{871B903D-15B6-43C0-AB5D-A01658C352D8}" id="{123D7A30-527C-471F-B514-A35995EF3C2D}">
    <text>JCP C22 Endline page 72: 31,3% of farmers have adopted stumping without incentives</text>
  </threadedComment>
  <threadedComment ref="C75" dT="2026-04-23T08:02:16.78" personId="{871B903D-15B6-43C0-AB5D-A01658C352D8}" id="{E96E6715-F10A-4554-9891-4CD5D673BD7E}">
    <text>JCP C22 endline page 72: Without incentives farmers who stumped stumped on average 137 trees in a given year</text>
  </threadedComment>
  <threadedComment ref="E84" dT="2026-04-23T07:39:25.30" personId="{871B903D-15B6-43C0-AB5D-A01658C352D8}" id="{1454B32D-77F0-4821-950C-E240EE648FE4}">
    <text>2125 is the target milestone set in MEL Framework</text>
  </threadedComment>
  <threadedComment ref="F84" dT="2026-04-23T07:39:43.14" personId="{871B903D-15B6-43C0-AB5D-A01658C352D8}" id="{FA38B824-E99F-449D-9AE5-9ABA8B132A6C}">
    <text>10880 is the target milestone set in MEL Framework</text>
  </threadedComment>
  <threadedComment ref="G84" dT="2026-04-23T07:39:51.76" personId="{871B903D-15B6-43C0-AB5D-A01658C352D8}" id="{467F76E6-75E5-47C9-AB3F-7EEBEBAC9C46}">
    <text>3995 is the target milestone set in MEL Framework</text>
  </threadedComment>
  <threadedComment ref="C88" dT="2026-01-06T15:33:22.97" personId="{871B903D-15B6-43C0-AB5D-A01658C352D8}" id="{A72CD246-7BA3-4837-9795-D00C8BC1CDB2}">
    <text xml:space="preserve">For additionality, we assume that 50% of participating farmers would have replanted coffee trees even without the project. In this counterfactual, farmers are assumed to use locally reproduced, non-improved varieties with lower average yields. The remaining 50% of farmers are assumed not to have replanted in the absence of project support. </text>
  </threadedComment>
  <threadedComment ref="C91" dT="2026-01-07T08:41:26.86" personId="{871B903D-15B6-43C0-AB5D-A01658C352D8}" id="{16DB2E1C-9A1C-4549-BF8F-3351C5DDAFCF}">
    <text xml:space="preserve">Labor impacts are estimated for planting and harvesting activities only. Planting labor is counted exclusively for trees that would not have been planted without project support, in line with the 50% additionality assumption. Harvest labor is calculated based on incremental cherry production. Labor inputs for establishment and management practices (e.g. weeding, mulching, soil management), which are typically higher for young coffee trees, are not included, resulting in a conservative estimate of total labor days. </text>
  </threadedComment>
  <threadedComment ref="C94" dT="2026-01-06T14:45:06.59" personId="{871B903D-15B6-43C0-AB5D-A01658C352D8}" id="{302FDB4C-47AA-4CCC-91F6-A38FEAB40CDD}">
    <text xml:space="preserve">We assume that 50% of newly planted coffee trees are used for area expansion. Based on observations from another project in Jimma, where maize fields were converted to coffee, we account for the opportunity costs of foregone maize production for this share. The remaining 50% of trees are assumed to replace old or unproductive coffee trees.
As we assume that only 50% of farmers would have planted coffee in the absence of the project, opportunity costs from maize conversion are ultimately applied to 25% of the total newly planted trees.
</text>
  </threadedComment>
  <threadedComment ref="C111" dT="2025-10-10T12:02:13.63" personId="{871B903D-15B6-43C0-AB5D-A01658C352D8}" id="{9E5B5447-B488-4009-A158-41C07121638B}">
    <text>Model assumes that saving contributions are annually adjusted to inflation rates</text>
  </threadedComment>
  <threadedComment ref="J114" dT="2025-10-09T14:19:10.23" personId="{871B903D-15B6-43C0-AB5D-A01658C352D8}" id="{DF773D7A-CDD1-45AB-B506-F5AD286D1788}">
    <text>From this point onwards loan HH recieving loans exceeds membership (either loan amount increases or the funds are not fully used -&gt; overestimation of impact)</text>
  </threadedComment>
  <threadedComment ref="B122" dT="2026-05-21T11:09:03.15" personId="{871B903D-15B6-43C0-AB5D-A01658C352D8}" id="{C659853F-A28E-4885-83C0-5B658B1A8E1B}">
    <text>Accounting for TA size</text>
  </threadedComment>
  <threadedComment ref="B146" dT="2026-05-20T09:13:19.65" personId="{871B903D-15B6-43C0-AB5D-A01658C352D8}" id="{F97081A5-4CB7-4174-8319-5468E945313C}">
    <text>Average accounting for TA size</text>
  </threadedComment>
  <threadedComment ref="C148" dT="2026-02-03T16:41:05.62" personId="{871B903D-15B6-43C0-AB5D-A01658C352D8}" id="{B0F3303E-9F67-472D-8925-0841C5347BD2}">
    <text xml:space="preserve">If median annual household income is used the relative increase in household income is ~ 15%; Consumption is used as the primary benchmark as it better reflects living standards and is less sensitive to income underreporting.  </text>
  </threadedComment>
  <threadedComment ref="F177" dT="2026-05-19T14:35:08.88" personId="{871B903D-15B6-43C0-AB5D-A01658C352D8}" id="{02E3D70E-218D-4252-9238-46808DA4E21D}">
    <text>DGR01 Budget includes 20% indirect costs</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www.herewegrow.org/wp-content/uploads/2026/04/HereWeGrow_IFPRI_Digital-Green_Baseline-Report_2024.pdf" TargetMode="External"/><Relationship Id="rId7" Type="http://schemas.openxmlformats.org/officeDocument/2006/relationships/comments" Target="../comments1.xml"/><Relationship Id="rId2" Type="http://schemas.openxmlformats.org/officeDocument/2006/relationships/hyperlink" Target="https://digitalgreen.org/" TargetMode="External"/><Relationship Id="rId1" Type="http://schemas.openxmlformats.org/officeDocument/2006/relationships/hyperlink" Target="https://www.ifpri.org/"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exchange-rates.org/exchange-rate-history/etb-eur-2021" TargetMode="External"/><Relationship Id="rId7" Type="http://schemas.openxmlformats.org/officeDocument/2006/relationships/printerSettings" Target="../printerSettings/printerSettings2.bin"/><Relationship Id="rId2" Type="http://schemas.openxmlformats.org/officeDocument/2006/relationships/hyperlink" Target="https://www.imf.org/en/Publications/WEO/weo-database/2025/april/weo-report?c=644,&amp;s=NGDP_D,&amp;sy=2017&amp;ey=2030&amp;ssm=0&amp;scsm=1&amp;scc=0&amp;ssd=1&amp;ssc=0&amp;sic=0&amp;sort=country&amp;ds=.&amp;br=1" TargetMode="External"/><Relationship Id="rId1" Type="http://schemas.openxmlformats.org/officeDocument/2006/relationships/hyperlink" Target="https://juniperpublishers.com/artoaj/ARTOAJ.MS.ID.556169.php" TargetMode="External"/><Relationship Id="rId6" Type="http://schemas.openxmlformats.org/officeDocument/2006/relationships/hyperlink" Target="https://herewegrow.sharepoint.com/:p:/s/herewegrow.org/IQBIdTzEtbAdSJ56L6m3K4K6AVQqDCigNsjO_ZgmmGkhiFY?e=T4yrdO" TargetMode="External"/><Relationship Id="rId5" Type="http://schemas.openxmlformats.org/officeDocument/2006/relationships/hyperlink" Target="../../../../../03%20Abgeschlossen/S_RD201_RD2Vision_Coffee_Profitability/07%20Projektdokumenation/01%20Deliverables/2%20Deliverable/2022%2003%20HWG%20RD2%20Gap%20Model%20Deliverable%202.xlsx?web=1" TargetMode="External"/><Relationship Id="rId10" Type="http://schemas.microsoft.com/office/2017/10/relationships/threadedComment" Target="../threadedComments/threadedComment2.xml"/><Relationship Id="rId4" Type="http://schemas.openxmlformats.org/officeDocument/2006/relationships/hyperlink" Target="https://www.technoserve.org/wp-content/uploads/2017/04/triple-line-evaluation-of-the-coffee-initiative.pdf" TargetMode="Externa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herewegrow.org/wp-content/uploads/2026/04/HereWeGrow_IFPRI_Digital-Green_Baseline-Report_2024.pdf" TargetMode="External"/><Relationship Id="rId13" Type="http://schemas.microsoft.com/office/2017/10/relationships/threadedComment" Target="../threadedComments/threadedComment3.xml"/><Relationship Id="rId3" Type="http://schemas.openxmlformats.org/officeDocument/2006/relationships/hyperlink" Target="https://www.herewegrow.org/wp-content/uploads/2026/04/HereWeGrow_IFPRI_Digital-Green_Baseline-Report_2024.pdf" TargetMode="External"/><Relationship Id="rId7" Type="http://schemas.openxmlformats.org/officeDocument/2006/relationships/hyperlink" Target="https://www.herewegrow.org/wp-content/uploads/2026/04/HereWeGrow_IFPRI_Digital-Green_Baseline-Report_2024.pdf" TargetMode="External"/><Relationship Id="rId12" Type="http://schemas.openxmlformats.org/officeDocument/2006/relationships/comments" Target="../comments3.xml"/><Relationship Id="rId2" Type="http://schemas.openxmlformats.org/officeDocument/2006/relationships/hyperlink" Target="https://www.herewegrow.org/wp-content/uploads/2026/04/HereWeGrow_IFPRI_Digital-Green_Baseline-Report_2024.pdf" TargetMode="External"/><Relationship Id="rId1" Type="http://schemas.openxmlformats.org/officeDocument/2006/relationships/hyperlink" Target="https://www.google.com/url?sa=t&amp;rct=j&amp;q=&amp;esrc=s&amp;source=web&amp;cd=&amp;ved=2ahUKEwjqzsjVzf6RAxX4h_0HHbTOHUgQFnoECBoQAQ&amp;url=https%3A%2F%2Fwww.easpublisher.com%2Fget-articles%2F4420&amp;usg=AOvVaw3ZbDp54SNvJzSQU19sMAiM&amp;opi=89978449" TargetMode="External"/><Relationship Id="rId6" Type="http://schemas.openxmlformats.org/officeDocument/2006/relationships/hyperlink" Target="https://www.herewegrow.org/wp-content/uploads/2026/04/HereWeGrow_IFPRI_Digital-Green_Baseline-Report_2024.pdf" TargetMode="External"/><Relationship Id="rId11" Type="http://schemas.openxmlformats.org/officeDocument/2006/relationships/vmlDrawing" Target="../drawings/vmlDrawing3.vml"/><Relationship Id="rId5" Type="http://schemas.openxmlformats.org/officeDocument/2006/relationships/hyperlink" Target="https://www.herewegrow.org/wp-content/uploads/2026/04/HereWeGrow_IFPRI_Digital-Green_Baseline-Report_2024.pdf" TargetMode="External"/><Relationship Id="rId10" Type="http://schemas.openxmlformats.org/officeDocument/2006/relationships/printerSettings" Target="../printerSettings/printerSettings3.bin"/><Relationship Id="rId4" Type="http://schemas.openxmlformats.org/officeDocument/2006/relationships/hyperlink" Target="https://www.herewegrow.org/wp-content/uploads/2026/04/HereWeGrow_IFPRI_Digital-Green_Baseline-Report_2024.pdf" TargetMode="External"/><Relationship Id="rId9" Type="http://schemas.openxmlformats.org/officeDocument/2006/relationships/hyperlink" Target="https://www.herewegrow.org/wp-content/uploads/2026/04/HereWeGrow_IFPRI_Digital-Green_Baseline-Report_2024.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6F16-6275-4823-BE92-E48E7D0D0703}">
  <dimension ref="A1:AB84"/>
  <sheetViews>
    <sheetView showGridLines="0" topLeftCell="A34" zoomScale="84" zoomScaleNormal="85" workbookViewId="0">
      <selection activeCell="C17" sqref="C17"/>
    </sheetView>
  </sheetViews>
  <sheetFormatPr defaultColWidth="8.6640625" defaultRowHeight="14.4" x14ac:dyDescent="0.3"/>
  <cols>
    <col min="1" max="1" width="4.44140625" style="14" customWidth="1"/>
    <col min="2" max="2" width="39.88671875" style="14" customWidth="1"/>
    <col min="3" max="3" width="58" style="51" customWidth="1"/>
    <col min="4" max="4" width="16.33203125" customWidth="1"/>
    <col min="5" max="5" width="10" customWidth="1"/>
    <col min="6" max="6" width="11.33203125" customWidth="1"/>
    <col min="12" max="12" width="4.5546875" customWidth="1"/>
    <col min="15" max="15" width="11.33203125" customWidth="1"/>
  </cols>
  <sheetData>
    <row r="1" spans="1:12" x14ac:dyDescent="0.3">
      <c r="A1" s="20"/>
      <c r="B1" s="21"/>
      <c r="C1" s="22"/>
      <c r="D1" s="23"/>
      <c r="E1" s="23"/>
      <c r="F1" s="23"/>
      <c r="G1" s="23"/>
      <c r="H1" s="23"/>
      <c r="I1" s="23"/>
      <c r="J1" s="23"/>
      <c r="K1" s="23"/>
      <c r="L1" s="24"/>
    </row>
    <row r="2" spans="1:12" ht="21" x14ac:dyDescent="0.35">
      <c r="A2" s="25"/>
      <c r="B2" s="26" t="s">
        <v>0</v>
      </c>
      <c r="C2" s="27" t="s">
        <v>1</v>
      </c>
      <c r="D2" s="28"/>
      <c r="E2" s="29"/>
      <c r="F2" s="29"/>
      <c r="G2" s="29"/>
      <c r="H2" s="29"/>
      <c r="I2" s="29"/>
      <c r="J2" s="29"/>
      <c r="K2" s="29"/>
      <c r="L2" s="30"/>
    </row>
    <row r="3" spans="1:12" x14ac:dyDescent="0.3">
      <c r="A3" s="31"/>
      <c r="B3" s="32"/>
      <c r="C3" s="33"/>
      <c r="D3" s="29"/>
      <c r="E3" s="29"/>
      <c r="F3" s="29"/>
      <c r="G3" s="29"/>
      <c r="H3" s="29"/>
      <c r="I3" s="29"/>
      <c r="J3" s="29"/>
      <c r="K3" s="29"/>
      <c r="L3" s="30"/>
    </row>
    <row r="4" spans="1:12" ht="18" x14ac:dyDescent="0.35">
      <c r="A4" s="34"/>
      <c r="B4" s="148" t="s">
        <v>2</v>
      </c>
      <c r="C4" s="35"/>
      <c r="D4" s="12"/>
      <c r="E4" s="206"/>
      <c r="F4" s="206"/>
      <c r="G4" s="206"/>
      <c r="H4" s="206"/>
      <c r="I4" s="36"/>
      <c r="J4" s="36"/>
      <c r="K4" s="36"/>
      <c r="L4" s="37"/>
    </row>
    <row r="5" spans="1:12" ht="18" x14ac:dyDescent="0.35">
      <c r="A5" s="207"/>
      <c r="B5" s="38"/>
      <c r="C5" s="39"/>
      <c r="D5" s="40"/>
      <c r="E5" s="208"/>
      <c r="F5" s="208"/>
      <c r="G5" s="208"/>
      <c r="H5" s="208"/>
      <c r="I5" s="29"/>
      <c r="J5" s="29"/>
      <c r="K5" s="29"/>
      <c r="L5" s="30"/>
    </row>
    <row r="6" spans="1:12" ht="18" x14ac:dyDescent="0.35">
      <c r="A6" s="207"/>
      <c r="B6" s="41" t="s">
        <v>3</v>
      </c>
      <c r="C6" s="209" t="s">
        <v>4</v>
      </c>
      <c r="D6" s="42"/>
      <c r="E6" s="208"/>
      <c r="F6" s="208"/>
      <c r="G6" s="208"/>
      <c r="H6" s="208"/>
      <c r="I6" s="29"/>
      <c r="J6" s="29"/>
      <c r="K6" s="29"/>
      <c r="L6" s="30"/>
    </row>
    <row r="7" spans="1:12" x14ac:dyDescent="0.3">
      <c r="A7" s="207"/>
      <c r="B7" s="43" t="s">
        <v>5</v>
      </c>
      <c r="C7" s="85" t="s">
        <v>6</v>
      </c>
      <c r="D7" s="194"/>
      <c r="E7" s="208"/>
      <c r="F7" s="208"/>
      <c r="G7" s="208"/>
      <c r="H7" s="208"/>
      <c r="I7" s="29"/>
      <c r="J7" s="29"/>
      <c r="K7" s="29"/>
      <c r="L7" s="30"/>
    </row>
    <row r="8" spans="1:12" x14ac:dyDescent="0.3">
      <c r="A8" s="207"/>
      <c r="B8" s="43" t="s">
        <v>7</v>
      </c>
      <c r="C8" s="44" t="s">
        <v>8</v>
      </c>
      <c r="D8" s="45"/>
      <c r="E8" s="208"/>
      <c r="F8" s="208"/>
      <c r="G8" s="208"/>
      <c r="H8" s="208"/>
      <c r="I8" s="29"/>
      <c r="J8" s="29"/>
      <c r="K8" s="29"/>
      <c r="L8" s="30"/>
    </row>
    <row r="9" spans="1:12" x14ac:dyDescent="0.3">
      <c r="A9" s="207"/>
      <c r="B9" s="43" t="s">
        <v>9</v>
      </c>
      <c r="C9" s="209" t="s">
        <v>10</v>
      </c>
      <c r="D9" s="194"/>
      <c r="E9" s="208"/>
      <c r="F9" s="208"/>
      <c r="G9" s="208"/>
      <c r="H9" s="208"/>
      <c r="I9" s="29"/>
      <c r="J9" s="29"/>
      <c r="K9" s="29"/>
      <c r="L9" s="30"/>
    </row>
    <row r="10" spans="1:12" x14ac:dyDescent="0.3">
      <c r="A10" s="207"/>
      <c r="B10" s="43" t="s">
        <v>11</v>
      </c>
      <c r="C10" s="209" t="s">
        <v>12</v>
      </c>
      <c r="D10" s="194"/>
      <c r="E10" s="208"/>
      <c r="F10" s="208"/>
      <c r="G10" s="208"/>
      <c r="H10" s="208"/>
      <c r="I10" s="29"/>
      <c r="J10" s="29"/>
      <c r="K10" s="29"/>
      <c r="L10" s="30"/>
    </row>
    <row r="11" spans="1:12" x14ac:dyDescent="0.3">
      <c r="A11" s="207"/>
      <c r="B11" s="43" t="s">
        <v>13</v>
      </c>
      <c r="C11" s="210" t="s">
        <v>14</v>
      </c>
      <c r="D11" s="194"/>
      <c r="E11" s="208"/>
      <c r="F11" s="208"/>
      <c r="G11" s="208"/>
      <c r="H11" s="208"/>
      <c r="I11" s="29"/>
      <c r="J11" s="29"/>
      <c r="K11" s="29"/>
      <c r="L11" s="30"/>
    </row>
    <row r="12" spans="1:12" ht="18" customHeight="1" x14ac:dyDescent="0.3">
      <c r="A12" s="207"/>
      <c r="B12" s="43" t="s">
        <v>15</v>
      </c>
      <c r="C12" s="211" t="s">
        <v>16</v>
      </c>
      <c r="D12" s="194"/>
      <c r="E12" s="208"/>
      <c r="F12" s="208"/>
      <c r="G12" s="208"/>
      <c r="H12" s="208"/>
      <c r="I12" s="29"/>
      <c r="J12" s="29"/>
      <c r="K12" s="29"/>
      <c r="L12" s="30"/>
    </row>
    <row r="13" spans="1:12" ht="15" customHeight="1" x14ac:dyDescent="0.3">
      <c r="A13" s="207"/>
      <c r="B13" s="43" t="s">
        <v>17</v>
      </c>
      <c r="C13" s="212">
        <f>SUM(SROI!C134:G134)</f>
        <v>2473370.8333333335</v>
      </c>
      <c r="D13" s="86" t="s">
        <v>18</v>
      </c>
      <c r="E13" s="208"/>
      <c r="F13" s="208"/>
      <c r="G13" s="208"/>
      <c r="H13" s="208"/>
      <c r="I13" s="29"/>
      <c r="J13" s="29"/>
      <c r="K13" s="29"/>
      <c r="L13" s="30"/>
    </row>
    <row r="14" spans="1:12" x14ac:dyDescent="0.3">
      <c r="A14" s="207"/>
      <c r="B14" s="43" t="s">
        <v>19</v>
      </c>
      <c r="C14" s="211">
        <f>SROI!C55</f>
        <v>34000</v>
      </c>
      <c r="D14" s="194" t="s">
        <v>20</v>
      </c>
      <c r="E14" s="208"/>
      <c r="F14" s="208"/>
      <c r="G14" s="208"/>
      <c r="H14" s="208"/>
      <c r="I14" s="29"/>
      <c r="J14" s="29"/>
      <c r="K14" s="29"/>
      <c r="L14" s="30"/>
    </row>
    <row r="15" spans="1:12" x14ac:dyDescent="0.3">
      <c r="A15" s="207"/>
      <c r="B15" s="43" t="s">
        <v>21</v>
      </c>
      <c r="C15" s="193">
        <v>46174</v>
      </c>
      <c r="D15" s="194" t="s">
        <v>22</v>
      </c>
      <c r="E15" s="208"/>
      <c r="F15" s="208"/>
      <c r="G15" s="208"/>
      <c r="H15" s="208"/>
      <c r="I15" s="29"/>
      <c r="J15" s="29"/>
      <c r="K15" s="29"/>
      <c r="L15" s="30"/>
    </row>
    <row r="16" spans="1:12" x14ac:dyDescent="0.3">
      <c r="A16" s="207"/>
      <c r="B16" s="43" t="s">
        <v>23</v>
      </c>
      <c r="C16" s="193" t="s">
        <v>24</v>
      </c>
      <c r="D16" s="194"/>
      <c r="E16" s="208"/>
      <c r="F16" s="208"/>
      <c r="G16" s="208"/>
      <c r="H16" s="208"/>
      <c r="I16" s="29"/>
      <c r="J16" s="29"/>
      <c r="K16" s="29"/>
      <c r="L16" s="30"/>
    </row>
    <row r="17" spans="1:12" ht="99" customHeight="1" x14ac:dyDescent="0.3">
      <c r="A17" s="207"/>
      <c r="B17" s="46"/>
      <c r="C17" s="213"/>
      <c r="D17" s="208"/>
      <c r="E17" s="208"/>
      <c r="F17" s="208"/>
      <c r="G17" s="208"/>
      <c r="H17" s="208"/>
      <c r="I17" s="29"/>
      <c r="J17" s="29"/>
      <c r="K17" s="29"/>
      <c r="L17" s="30"/>
    </row>
    <row r="18" spans="1:12" ht="18" x14ac:dyDescent="0.35">
      <c r="A18" s="34"/>
      <c r="B18" s="148" t="s">
        <v>25</v>
      </c>
      <c r="C18" s="35"/>
      <c r="D18" s="12"/>
      <c r="E18" s="12"/>
      <c r="F18" s="12"/>
      <c r="G18" s="12"/>
      <c r="H18" s="12"/>
      <c r="I18" s="12"/>
      <c r="J18" s="12"/>
      <c r="K18" s="12"/>
      <c r="L18" s="47"/>
    </row>
    <row r="19" spans="1:12" ht="18" x14ac:dyDescent="0.35">
      <c r="A19" s="48"/>
      <c r="B19" s="38"/>
      <c r="C19" s="39"/>
      <c r="D19" s="40"/>
      <c r="E19" s="208"/>
      <c r="F19" s="208"/>
      <c r="G19" s="208"/>
      <c r="H19" s="208"/>
      <c r="I19" s="29"/>
      <c r="J19" s="29"/>
      <c r="K19" s="29"/>
      <c r="L19" s="30"/>
    </row>
    <row r="20" spans="1:12" ht="28.8" x14ac:dyDescent="0.3">
      <c r="A20" s="49"/>
      <c r="B20" s="150" t="s">
        <v>26</v>
      </c>
      <c r="C20" s="151">
        <f>SROI!C152</f>
        <v>7.6836747680494923</v>
      </c>
      <c r="D20" s="29"/>
      <c r="E20" s="208"/>
      <c r="F20" s="208"/>
      <c r="G20" s="208"/>
      <c r="H20" s="208"/>
      <c r="I20" s="29"/>
      <c r="J20" s="29"/>
      <c r="K20" s="29"/>
      <c r="L20" s="30"/>
    </row>
    <row r="21" spans="1:12" x14ac:dyDescent="0.3">
      <c r="A21" s="50"/>
      <c r="B21" s="43" t="s">
        <v>27</v>
      </c>
      <c r="C21" s="209" t="s">
        <v>28</v>
      </c>
      <c r="D21" s="208"/>
      <c r="E21" s="208"/>
      <c r="F21" s="208"/>
      <c r="G21" s="208"/>
      <c r="H21" s="208"/>
      <c r="I21" s="29"/>
      <c r="J21" s="29"/>
      <c r="K21" s="29"/>
      <c r="L21" s="30"/>
    </row>
    <row r="22" spans="1:12" x14ac:dyDescent="0.3">
      <c r="A22" s="50"/>
      <c r="B22" s="89" t="s">
        <v>29</v>
      </c>
      <c r="C22" s="214" t="s">
        <v>30</v>
      </c>
      <c r="D22" s="29"/>
      <c r="E22" s="208"/>
      <c r="F22" s="208"/>
      <c r="G22" s="208"/>
      <c r="H22" s="208"/>
      <c r="I22" s="29"/>
      <c r="J22" s="29"/>
      <c r="K22" s="29"/>
      <c r="L22" s="30"/>
    </row>
    <row r="23" spans="1:12" x14ac:dyDescent="0.3">
      <c r="A23" s="50"/>
      <c r="B23" s="126" t="s">
        <v>31</v>
      </c>
      <c r="C23" s="90" t="s">
        <v>32</v>
      </c>
      <c r="D23" s="29"/>
      <c r="E23" s="29"/>
      <c r="F23" s="29"/>
      <c r="G23" s="29"/>
      <c r="H23" s="29"/>
      <c r="I23" s="29"/>
      <c r="J23" s="29"/>
      <c r="K23" s="29"/>
      <c r="L23" s="30"/>
    </row>
    <row r="24" spans="1:12" ht="18" x14ac:dyDescent="0.3">
      <c r="A24" s="50"/>
      <c r="B24" s="330" t="s">
        <v>33</v>
      </c>
      <c r="C24" s="331"/>
      <c r="D24" s="29"/>
      <c r="E24" s="29"/>
      <c r="F24" s="29"/>
      <c r="G24" s="29"/>
      <c r="H24" s="29"/>
      <c r="I24" s="29"/>
      <c r="J24" s="29"/>
      <c r="K24" s="29"/>
      <c r="L24" s="30"/>
    </row>
    <row r="25" spans="1:12" ht="29.25" customHeight="1" x14ac:dyDescent="0.3">
      <c r="A25" s="50"/>
      <c r="B25" s="201" t="s">
        <v>34</v>
      </c>
      <c r="C25" s="202" t="s">
        <v>35</v>
      </c>
      <c r="D25" s="29"/>
      <c r="E25" s="29"/>
      <c r="F25" s="29"/>
      <c r="G25" s="29"/>
      <c r="H25" s="29"/>
      <c r="I25" s="29"/>
      <c r="J25" s="29"/>
      <c r="K25" s="29"/>
      <c r="L25" s="30"/>
    </row>
    <row r="26" spans="1:12" ht="21" customHeight="1" x14ac:dyDescent="0.35">
      <c r="A26" s="48"/>
      <c r="B26" s="195" t="s">
        <v>36</v>
      </c>
      <c r="C26" s="203">
        <f>MIN(SROI!S171:U176)</f>
        <v>4.6894576310177598</v>
      </c>
      <c r="D26" s="196"/>
      <c r="E26" s="208"/>
      <c r="F26" s="208"/>
      <c r="G26" s="208"/>
      <c r="H26" s="208"/>
      <c r="I26" s="29"/>
      <c r="J26" s="29"/>
      <c r="K26" s="29"/>
      <c r="L26" s="30"/>
    </row>
    <row r="27" spans="1:12" ht="15.75" customHeight="1" x14ac:dyDescent="0.35">
      <c r="A27" s="48"/>
      <c r="B27" s="195" t="s">
        <v>37</v>
      </c>
      <c r="C27" s="203">
        <f>MAX(SROI!S171:U176)</f>
        <v>8.7128433788972277</v>
      </c>
      <c r="D27" s="196"/>
      <c r="E27" s="208"/>
      <c r="F27" s="208"/>
      <c r="G27" s="208"/>
      <c r="H27" s="208"/>
      <c r="I27" s="29"/>
      <c r="J27" s="29"/>
      <c r="K27" s="29"/>
      <c r="L27" s="30"/>
    </row>
    <row r="28" spans="1:12" ht="21.75" customHeight="1" x14ac:dyDescent="0.35">
      <c r="A28" s="48"/>
      <c r="B28" s="38"/>
      <c r="C28"/>
      <c r="D28" s="40"/>
      <c r="E28" s="208"/>
      <c r="F28" s="208"/>
      <c r="G28" s="208"/>
      <c r="H28" s="208"/>
      <c r="I28" s="29"/>
      <c r="J28" s="29"/>
      <c r="K28" s="29"/>
      <c r="L28" s="30"/>
    </row>
    <row r="29" spans="1:12" ht="18" x14ac:dyDescent="0.35">
      <c r="A29" s="34"/>
      <c r="B29" s="148" t="s">
        <v>38</v>
      </c>
      <c r="C29" s="35"/>
      <c r="D29" s="12"/>
      <c r="E29" s="206"/>
      <c r="F29" s="206"/>
      <c r="G29" s="206"/>
      <c r="H29" s="206"/>
      <c r="I29" s="36"/>
      <c r="J29" s="36"/>
      <c r="K29" s="36"/>
      <c r="L29" s="37"/>
    </row>
    <row r="30" spans="1:12" ht="18" x14ac:dyDescent="0.35">
      <c r="A30" s="48"/>
      <c r="B30" s="38"/>
      <c r="C30" s="39"/>
      <c r="D30" s="40"/>
      <c r="E30" s="208"/>
      <c r="F30" s="208"/>
      <c r="G30" s="208"/>
      <c r="H30" s="208"/>
      <c r="I30" s="29"/>
      <c r="J30" s="29"/>
      <c r="K30" s="29"/>
      <c r="L30" s="30"/>
    </row>
    <row r="31" spans="1:12" ht="57.6" x14ac:dyDescent="0.3">
      <c r="A31" s="50"/>
      <c r="B31" s="43" t="s">
        <v>39</v>
      </c>
      <c r="C31" s="209" t="s">
        <v>40</v>
      </c>
      <c r="D31" s="208"/>
      <c r="E31" s="208"/>
      <c r="F31" s="208"/>
      <c r="G31" s="208"/>
      <c r="H31" s="208"/>
      <c r="I31" s="29"/>
      <c r="J31" s="29"/>
      <c r="K31" s="29"/>
      <c r="L31" s="30"/>
    </row>
    <row r="32" spans="1:12" x14ac:dyDescent="0.3">
      <c r="A32" s="50"/>
      <c r="B32" s="43" t="s">
        <v>41</v>
      </c>
      <c r="C32" s="209" t="s">
        <v>42</v>
      </c>
      <c r="D32" s="208"/>
      <c r="E32" s="208"/>
      <c r="F32" s="208"/>
      <c r="G32" s="208"/>
      <c r="H32" s="208"/>
      <c r="I32" s="29"/>
      <c r="J32" s="29"/>
      <c r="K32" s="29"/>
      <c r="L32" s="30"/>
    </row>
    <row r="33" spans="1:28" x14ac:dyDescent="0.3">
      <c r="A33" s="50"/>
      <c r="B33" s="43" t="s">
        <v>43</v>
      </c>
      <c r="C33" s="209" t="s">
        <v>44</v>
      </c>
      <c r="D33" s="208"/>
      <c r="E33" s="208"/>
      <c r="F33" s="208"/>
      <c r="G33" s="208"/>
      <c r="H33" s="208"/>
      <c r="I33" s="29"/>
      <c r="J33" s="29"/>
      <c r="K33" s="29"/>
      <c r="L33" s="30"/>
    </row>
    <row r="34" spans="1:28" x14ac:dyDescent="0.3">
      <c r="A34" s="50"/>
      <c r="B34" s="43" t="s">
        <v>45</v>
      </c>
      <c r="C34" s="209" t="s">
        <v>46</v>
      </c>
      <c r="D34" s="208"/>
      <c r="E34" s="208"/>
      <c r="F34" s="208"/>
      <c r="G34" s="208"/>
      <c r="H34" s="208"/>
      <c r="I34" s="29"/>
      <c r="J34" s="29"/>
      <c r="K34" s="29"/>
      <c r="L34" s="30"/>
    </row>
    <row r="35" spans="1:28" ht="33" customHeight="1" x14ac:dyDescent="0.3">
      <c r="A35" s="50"/>
      <c r="B35" s="43" t="s">
        <v>47</v>
      </c>
      <c r="C35" s="209" t="s">
        <v>48</v>
      </c>
      <c r="D35" s="208"/>
      <c r="E35" s="208"/>
      <c r="F35" s="208"/>
      <c r="G35" s="208"/>
      <c r="H35" s="208"/>
      <c r="I35" s="29"/>
      <c r="J35" s="29"/>
      <c r="K35" s="29"/>
      <c r="L35" s="30"/>
    </row>
    <row r="36" spans="1:28" x14ac:dyDescent="0.3">
      <c r="A36" s="50"/>
      <c r="B36" s="43" t="s">
        <v>49</v>
      </c>
      <c r="C36" s="209" t="s">
        <v>50</v>
      </c>
      <c r="D36" s="208"/>
      <c r="E36" s="208"/>
      <c r="F36" s="208"/>
      <c r="G36" s="208"/>
      <c r="H36" s="208"/>
      <c r="I36" s="29"/>
      <c r="J36" s="29"/>
      <c r="K36" s="29"/>
      <c r="L36" s="30"/>
    </row>
    <row r="37" spans="1:28" x14ac:dyDescent="0.3">
      <c r="A37" s="215"/>
      <c r="B37" s="216"/>
      <c r="C37" s="213"/>
      <c r="D37" s="208"/>
      <c r="E37" s="208"/>
      <c r="F37" s="208"/>
      <c r="G37" s="208"/>
      <c r="H37" s="208"/>
      <c r="I37" s="29"/>
      <c r="J37" s="29"/>
      <c r="K37" s="29"/>
      <c r="L37" s="30"/>
    </row>
    <row r="38" spans="1:28" ht="18" x14ac:dyDescent="0.35">
      <c r="A38" s="34"/>
      <c r="B38" s="148" t="s">
        <v>51</v>
      </c>
      <c r="C38" s="35"/>
      <c r="D38" s="12"/>
      <c r="E38" s="206"/>
      <c r="F38" s="206"/>
      <c r="G38" s="206"/>
      <c r="H38" s="206"/>
      <c r="I38" s="36"/>
      <c r="J38" s="36"/>
      <c r="K38" s="36"/>
      <c r="L38" s="37"/>
    </row>
    <row r="39" spans="1:28" ht="9" customHeight="1" x14ac:dyDescent="0.35">
      <c r="A39" s="48"/>
      <c r="B39" s="38"/>
      <c r="C39" s="39"/>
      <c r="D39" s="40"/>
      <c r="E39" s="208"/>
      <c r="F39" s="208"/>
      <c r="G39" s="208"/>
      <c r="H39" s="208"/>
      <c r="I39" s="29"/>
      <c r="J39" s="29"/>
      <c r="K39" s="29"/>
      <c r="L39" s="30"/>
    </row>
    <row r="40" spans="1:28" ht="18" x14ac:dyDescent="0.35">
      <c r="A40" s="50"/>
      <c r="B40" s="46"/>
      <c r="C40" s="39"/>
      <c r="D40" s="40"/>
      <c r="E40" s="208"/>
      <c r="F40" s="208"/>
      <c r="G40" s="208"/>
      <c r="H40" s="208"/>
      <c r="I40" s="29"/>
      <c r="J40" s="29"/>
      <c r="K40" s="29"/>
      <c r="L40" s="30"/>
      <c r="Z40" s="29"/>
      <c r="AA40" s="29"/>
      <c r="AB40" s="29"/>
    </row>
    <row r="41" spans="1:28" x14ac:dyDescent="0.3">
      <c r="A41" s="50"/>
      <c r="B41" s="43" t="s">
        <v>52</v>
      </c>
      <c r="C41" s="332" t="s">
        <v>53</v>
      </c>
      <c r="D41" s="332"/>
      <c r="E41" s="332"/>
      <c r="F41" s="208"/>
      <c r="G41" s="208"/>
      <c r="H41" s="208"/>
      <c r="I41" s="29"/>
      <c r="J41" s="29"/>
      <c r="K41" s="29"/>
      <c r="L41" s="30"/>
      <c r="W41" s="55"/>
      <c r="X41" s="55"/>
      <c r="Z41" s="29"/>
      <c r="AA41" s="29"/>
      <c r="AB41" s="29"/>
    </row>
    <row r="42" spans="1:28" x14ac:dyDescent="0.3">
      <c r="A42" s="50"/>
      <c r="B42" s="43" t="s">
        <v>54</v>
      </c>
      <c r="C42" s="332" t="s">
        <v>53</v>
      </c>
      <c r="D42" s="332"/>
      <c r="E42" s="332"/>
      <c r="F42" s="208"/>
      <c r="G42" s="208"/>
      <c r="H42" s="208"/>
      <c r="I42" s="29"/>
      <c r="J42" s="29"/>
      <c r="K42" s="29"/>
      <c r="L42" s="30"/>
      <c r="W42" s="55"/>
      <c r="X42" s="55"/>
      <c r="Z42" s="29"/>
      <c r="AA42" s="29"/>
      <c r="AB42" s="29"/>
    </row>
    <row r="43" spans="1:28" x14ac:dyDescent="0.3">
      <c r="A43" s="50"/>
      <c r="B43" s="43" t="s">
        <v>55</v>
      </c>
      <c r="C43" s="332" t="s">
        <v>53</v>
      </c>
      <c r="D43" s="332"/>
      <c r="E43" s="332"/>
      <c r="F43" s="208"/>
      <c r="G43" s="208"/>
      <c r="H43" s="208"/>
      <c r="I43" s="29"/>
      <c r="J43" s="29"/>
      <c r="K43" s="29"/>
      <c r="L43" s="30"/>
      <c r="W43" s="55"/>
      <c r="X43" s="55"/>
      <c r="Z43" s="29"/>
      <c r="AA43" s="29"/>
      <c r="AB43" s="29"/>
    </row>
    <row r="44" spans="1:28" x14ac:dyDescent="0.3">
      <c r="A44" s="52"/>
      <c r="B44" s="53"/>
      <c r="C44" s="33"/>
      <c r="D44" s="29"/>
      <c r="E44" s="29"/>
      <c r="F44" s="29"/>
      <c r="G44" s="29"/>
      <c r="H44" s="29"/>
      <c r="I44" s="29"/>
      <c r="J44" s="29"/>
      <c r="K44" s="29"/>
      <c r="L44" s="30"/>
      <c r="W44" s="55"/>
      <c r="X44" s="55"/>
      <c r="Z44" s="29"/>
      <c r="AA44" s="29"/>
      <c r="AB44" s="29"/>
    </row>
    <row r="45" spans="1:28" ht="18" x14ac:dyDescent="0.35">
      <c r="A45" s="34"/>
      <c r="B45" s="148" t="s">
        <v>56</v>
      </c>
      <c r="C45" s="35"/>
      <c r="D45" s="12"/>
      <c r="E45" s="206"/>
      <c r="F45" s="206"/>
      <c r="G45" s="206"/>
      <c r="H45" s="206"/>
      <c r="I45" s="36"/>
      <c r="J45" s="36"/>
      <c r="K45" s="36"/>
      <c r="L45" s="37"/>
      <c r="W45" s="55"/>
      <c r="X45" s="55"/>
      <c r="Y45" s="29"/>
      <c r="Z45" s="29"/>
      <c r="AA45" s="29"/>
      <c r="AB45" s="29"/>
    </row>
    <row r="46" spans="1:28" x14ac:dyDescent="0.3">
      <c r="A46" s="52"/>
      <c r="B46" s="53"/>
      <c r="C46" s="33"/>
      <c r="D46" s="29"/>
      <c r="E46" s="29"/>
      <c r="F46" s="29"/>
      <c r="G46" s="29"/>
      <c r="H46" s="29"/>
      <c r="I46" s="29"/>
      <c r="J46" s="29"/>
      <c r="K46" s="29"/>
      <c r="L46" s="30"/>
      <c r="V46" s="29"/>
      <c r="W46" s="29"/>
      <c r="X46" s="29"/>
      <c r="Y46" s="29"/>
      <c r="Z46" s="29"/>
      <c r="AA46" s="29"/>
      <c r="AB46" s="29"/>
    </row>
    <row r="47" spans="1:28" x14ac:dyDescent="0.3">
      <c r="A47" s="52"/>
      <c r="B47" s="53"/>
      <c r="C47" s="33"/>
      <c r="D47" s="29"/>
      <c r="L47" s="30"/>
      <c r="V47" s="29"/>
      <c r="W47" s="29"/>
      <c r="X47" s="29"/>
      <c r="Y47" s="29"/>
      <c r="Z47" s="29"/>
      <c r="AA47" s="29"/>
      <c r="AB47" s="29"/>
    </row>
    <row r="48" spans="1:28" x14ac:dyDescent="0.3">
      <c r="A48" s="52"/>
      <c r="B48" s="53"/>
      <c r="C48" s="33"/>
      <c r="D48" s="54"/>
      <c r="F48" t="s">
        <v>57</v>
      </c>
      <c r="G48" t="s">
        <v>58</v>
      </c>
      <c r="H48" t="s">
        <v>59</v>
      </c>
      <c r="I48" t="s">
        <v>60</v>
      </c>
      <c r="L48" s="30"/>
      <c r="V48" s="29"/>
      <c r="W48" s="29"/>
      <c r="X48" s="29"/>
      <c r="Y48" s="29"/>
      <c r="AA48" s="29"/>
      <c r="AB48" s="29"/>
    </row>
    <row r="49" spans="1:28" x14ac:dyDescent="0.3">
      <c r="A49" s="56"/>
      <c r="B49" t="s">
        <v>61</v>
      </c>
      <c r="C49" s="57">
        <f>SROI!C140</f>
        <v>47.127324347963956</v>
      </c>
      <c r="D49" s="54"/>
      <c r="E49" t="s">
        <v>62</v>
      </c>
      <c r="F49" s="55">
        <f>I49</f>
        <v>134.84049350674857</v>
      </c>
      <c r="G49" s="55">
        <f>I49</f>
        <v>134.84049350674857</v>
      </c>
      <c r="H49" s="55">
        <f>I49</f>
        <v>134.84049350674857</v>
      </c>
      <c r="I49" s="55">
        <f>SUM(SROI!E73:N73)</f>
        <v>134.84049350674857</v>
      </c>
      <c r="L49" s="30"/>
      <c r="V49" s="29"/>
      <c r="W49" s="29"/>
      <c r="X49" s="29"/>
      <c r="Y49" s="29"/>
      <c r="Z49" s="29"/>
      <c r="AA49" s="29"/>
      <c r="AB49" s="29"/>
    </row>
    <row r="50" spans="1:28" x14ac:dyDescent="0.3">
      <c r="A50" s="56"/>
      <c r="B50" t="s">
        <v>63</v>
      </c>
      <c r="C50" s="57">
        <f>SROI!C146</f>
        <v>362.11103297813509</v>
      </c>
      <c r="D50" s="54"/>
      <c r="E50" t="s">
        <v>64</v>
      </c>
      <c r="F50" s="55">
        <f>I50</f>
        <v>111.06403989779378</v>
      </c>
      <c r="G50" s="55">
        <f>I50</f>
        <v>111.06403989779378</v>
      </c>
      <c r="H50" s="55">
        <f>I50</f>
        <v>111.06403989779378</v>
      </c>
      <c r="I50" s="55">
        <f>SUM(SROI!E83:N83)</f>
        <v>111.06403989779378</v>
      </c>
      <c r="L50" s="30"/>
      <c r="V50" s="29"/>
      <c r="W50" s="29"/>
      <c r="X50" s="29"/>
      <c r="Y50" s="29"/>
      <c r="Z50" s="29"/>
      <c r="AA50" s="29"/>
      <c r="AB50" s="29"/>
    </row>
    <row r="51" spans="1:28" x14ac:dyDescent="0.3">
      <c r="A51" s="56"/>
      <c r="B51" s="53" t="s">
        <v>65</v>
      </c>
      <c r="C51" s="58">
        <f>C50-C49</f>
        <v>314.98370863017112</v>
      </c>
      <c r="D51" s="54"/>
      <c r="E51" t="s">
        <v>66</v>
      </c>
      <c r="F51" s="55">
        <f>I51</f>
        <v>78.449837468395771</v>
      </c>
      <c r="G51" s="55">
        <f>I51</f>
        <v>78.449837468395771</v>
      </c>
      <c r="H51" s="55">
        <f>I51</f>
        <v>78.449837468395771</v>
      </c>
      <c r="I51" s="55">
        <f>SUM(SROI!D99:N99)</f>
        <v>78.449837468395771</v>
      </c>
      <c r="L51" s="30"/>
      <c r="V51" s="29"/>
      <c r="W51" s="29"/>
      <c r="X51" s="29"/>
      <c r="Y51" s="29"/>
      <c r="Z51" s="29"/>
      <c r="AA51" s="29"/>
      <c r="AB51" s="29"/>
    </row>
    <row r="52" spans="1:28" x14ac:dyDescent="0.3">
      <c r="A52" s="52"/>
      <c r="D52" s="29"/>
      <c r="E52" t="s">
        <v>67</v>
      </c>
      <c r="F52" s="55">
        <f>I52*(SROI!C57/SROI!C56)</f>
        <v>21.123121309797909</v>
      </c>
      <c r="H52" s="55">
        <f>I52</f>
        <v>28.164161746397212</v>
      </c>
      <c r="I52" s="55">
        <f>SUM(SROI!D108:N108)</f>
        <v>28.164161746397212</v>
      </c>
      <c r="L52" s="30"/>
      <c r="V52" s="29"/>
      <c r="W52" s="29"/>
      <c r="X52" s="29"/>
      <c r="Y52" s="29"/>
      <c r="Z52" s="29"/>
      <c r="AA52" s="29"/>
      <c r="AB52" s="29"/>
    </row>
    <row r="53" spans="1:28" x14ac:dyDescent="0.3">
      <c r="A53" s="52"/>
      <c r="D53" s="29"/>
      <c r="E53" t="s">
        <v>68</v>
      </c>
      <c r="F53" s="55">
        <f>I53*(SROI!C59/SROI!C55)</f>
        <v>16.633540795399046</v>
      </c>
      <c r="I53" s="55">
        <f>SUM(SROI!D121:N121)</f>
        <v>106.7057334044467</v>
      </c>
      <c r="L53" s="30"/>
      <c r="V53" s="29"/>
      <c r="W53" s="29"/>
      <c r="X53" s="29"/>
      <c r="Y53" s="29"/>
      <c r="Z53" s="29"/>
      <c r="AA53" s="29"/>
      <c r="AB53" s="29"/>
    </row>
    <row r="54" spans="1:28" x14ac:dyDescent="0.3">
      <c r="A54" s="31"/>
      <c r="B54" s="32"/>
      <c r="C54" s="33"/>
      <c r="D54" s="29"/>
      <c r="F54" s="55">
        <f>SUM(F49:F53)</f>
        <v>362.11103297813509</v>
      </c>
      <c r="G54" s="55">
        <f>SUM(G49:G53)</f>
        <v>324.35437087293815</v>
      </c>
      <c r="H54" s="55">
        <f>SUM(H49:H53)</f>
        <v>352.51853261933536</v>
      </c>
      <c r="I54" s="55">
        <f>SUM(I49:I53)</f>
        <v>459.22426602378209</v>
      </c>
      <c r="L54" s="30"/>
      <c r="V54" s="29"/>
      <c r="W54" s="29"/>
      <c r="X54" s="29"/>
      <c r="Y54" s="29"/>
      <c r="Z54" s="29"/>
      <c r="AA54" s="29"/>
      <c r="AB54" s="29"/>
    </row>
    <row r="55" spans="1:28" x14ac:dyDescent="0.3">
      <c r="A55" s="31"/>
      <c r="B55" s="32"/>
      <c r="C55" s="33"/>
      <c r="D55" s="29"/>
      <c r="L55" s="30"/>
    </row>
    <row r="56" spans="1:28" x14ac:dyDescent="0.3">
      <c r="A56" s="31"/>
      <c r="B56" s="32"/>
      <c r="C56" s="33"/>
      <c r="D56" s="29"/>
      <c r="L56" s="30"/>
    </row>
    <row r="57" spans="1:28" x14ac:dyDescent="0.3">
      <c r="A57" s="31"/>
      <c r="B57" s="32"/>
      <c r="C57" s="33"/>
      <c r="D57" s="29"/>
      <c r="L57" s="30"/>
    </row>
    <row r="58" spans="1:28" x14ac:dyDescent="0.3">
      <c r="A58" s="31"/>
      <c r="B58" s="32"/>
      <c r="C58" s="33"/>
      <c r="D58" s="29"/>
      <c r="L58" s="30"/>
    </row>
    <row r="59" spans="1:28" x14ac:dyDescent="0.3">
      <c r="A59" s="31"/>
      <c r="B59" s="32"/>
      <c r="C59" s="33"/>
      <c r="D59" s="29"/>
      <c r="L59" s="30"/>
    </row>
    <row r="60" spans="1:28" x14ac:dyDescent="0.3">
      <c r="A60" s="31"/>
      <c r="B60" s="32"/>
      <c r="C60" s="33"/>
      <c r="D60" s="29"/>
      <c r="L60" s="30"/>
    </row>
    <row r="61" spans="1:28" x14ac:dyDescent="0.3">
      <c r="A61" s="31"/>
      <c r="B61" s="32"/>
      <c r="C61" s="33"/>
      <c r="D61" s="29"/>
      <c r="L61" s="30"/>
    </row>
    <row r="62" spans="1:28" x14ac:dyDescent="0.3">
      <c r="A62" s="31"/>
      <c r="B62" s="32"/>
      <c r="C62" s="33"/>
      <c r="D62" s="29"/>
      <c r="E62" s="29"/>
      <c r="F62" s="29"/>
      <c r="G62" s="29"/>
      <c r="H62" s="29"/>
      <c r="I62" s="29"/>
      <c r="J62" s="29"/>
      <c r="K62" s="29"/>
      <c r="L62" s="30"/>
    </row>
    <row r="63" spans="1:28" x14ac:dyDescent="0.3">
      <c r="A63" s="31"/>
      <c r="B63" s="32"/>
      <c r="C63" s="33"/>
      <c r="D63" s="29"/>
      <c r="E63" s="29"/>
      <c r="F63" s="29"/>
      <c r="G63" s="29"/>
      <c r="H63" s="29"/>
      <c r="I63" s="29"/>
      <c r="J63" s="29"/>
      <c r="K63" s="29"/>
      <c r="L63" s="30"/>
    </row>
    <row r="64" spans="1:28" x14ac:dyDescent="0.3">
      <c r="A64" s="31"/>
      <c r="B64" s="32"/>
      <c r="C64" s="33"/>
      <c r="D64" s="29"/>
      <c r="E64" s="29"/>
      <c r="F64" s="29"/>
      <c r="G64" s="29"/>
      <c r="H64" s="29"/>
      <c r="I64" s="29"/>
      <c r="J64" s="29"/>
      <c r="K64" s="29"/>
      <c r="L64" s="30"/>
    </row>
    <row r="65" spans="1:12" x14ac:dyDescent="0.3">
      <c r="A65" s="31"/>
      <c r="B65" s="32"/>
      <c r="C65" s="33"/>
      <c r="D65" s="29"/>
      <c r="E65" s="29"/>
      <c r="F65" s="29"/>
      <c r="G65" s="29"/>
      <c r="H65" s="29"/>
      <c r="I65" s="29"/>
      <c r="J65" s="29"/>
      <c r="K65" s="29"/>
      <c r="L65" s="30"/>
    </row>
    <row r="66" spans="1:12" x14ac:dyDescent="0.3">
      <c r="A66" s="31"/>
      <c r="B66" s="32"/>
      <c r="C66" s="33"/>
      <c r="D66" s="29"/>
      <c r="E66" s="29"/>
      <c r="F66" s="29"/>
      <c r="G66" s="29"/>
      <c r="H66" s="29"/>
      <c r="I66" s="29"/>
      <c r="J66" s="29"/>
      <c r="K66" s="29"/>
      <c r="L66" s="30"/>
    </row>
    <row r="67" spans="1:12" ht="18" x14ac:dyDescent="0.35">
      <c r="A67" s="333"/>
      <c r="B67" s="334"/>
      <c r="C67" s="59" t="s">
        <v>69</v>
      </c>
      <c r="D67" s="60">
        <f>SROI!C139</f>
        <v>1602329.0278307744</v>
      </c>
      <c r="E67" s="29"/>
      <c r="F67" s="29"/>
      <c r="G67" s="29"/>
      <c r="H67" s="29"/>
      <c r="I67" s="29"/>
      <c r="J67" s="29"/>
      <c r="K67" s="29"/>
      <c r="L67" s="30"/>
    </row>
    <row r="68" spans="1:12" ht="18" x14ac:dyDescent="0.35">
      <c r="A68" s="333"/>
      <c r="B68" s="334"/>
      <c r="C68" s="59" t="s">
        <v>70</v>
      </c>
      <c r="D68" s="60">
        <f>SROI!C144</f>
        <v>12311775.121256594</v>
      </c>
      <c r="E68" s="29"/>
      <c r="F68" s="29"/>
      <c r="G68" s="29"/>
      <c r="H68" s="29"/>
      <c r="I68" s="29"/>
      <c r="J68" s="29"/>
      <c r="K68" s="29"/>
      <c r="L68" s="30"/>
    </row>
    <row r="69" spans="1:12" ht="18" x14ac:dyDescent="0.35">
      <c r="A69" s="333"/>
      <c r="B69" s="334"/>
      <c r="C69" s="59" t="s">
        <v>71</v>
      </c>
      <c r="D69" s="60">
        <f>SROI!C145</f>
        <v>10709446.09342582</v>
      </c>
      <c r="E69" s="29"/>
      <c r="F69" s="29"/>
      <c r="G69" s="29"/>
      <c r="H69" s="29"/>
      <c r="I69" s="29"/>
      <c r="J69" s="29"/>
      <c r="K69" s="29"/>
      <c r="L69" s="30"/>
    </row>
    <row r="70" spans="1:12" x14ac:dyDescent="0.3">
      <c r="A70" s="31"/>
      <c r="B70" s="32"/>
      <c r="C70" s="33"/>
      <c r="D70" s="29"/>
      <c r="E70" s="29"/>
      <c r="F70" s="29"/>
      <c r="G70" s="29"/>
      <c r="H70" s="29"/>
      <c r="I70" s="29"/>
      <c r="J70" s="29"/>
      <c r="K70" s="29"/>
      <c r="L70" s="30"/>
    </row>
    <row r="71" spans="1:12" x14ac:dyDescent="0.3">
      <c r="A71" s="31"/>
      <c r="B71" s="32"/>
      <c r="C71" s="33"/>
      <c r="D71" s="29"/>
      <c r="E71" s="29"/>
      <c r="F71" s="29"/>
      <c r="G71" s="29"/>
      <c r="H71" s="29"/>
      <c r="I71" s="29"/>
      <c r="J71" s="29"/>
      <c r="K71" s="29"/>
      <c r="L71" s="30"/>
    </row>
    <row r="72" spans="1:12" x14ac:dyDescent="0.3">
      <c r="A72" s="31"/>
      <c r="B72" s="32"/>
      <c r="C72" s="33"/>
      <c r="D72" s="29"/>
      <c r="E72" s="29"/>
      <c r="F72" s="29"/>
      <c r="G72" s="29"/>
      <c r="H72" s="29"/>
      <c r="I72" s="29"/>
      <c r="J72" s="29"/>
      <c r="K72" s="29"/>
      <c r="L72" s="30"/>
    </row>
    <row r="73" spans="1:12" x14ac:dyDescent="0.3">
      <c r="A73" s="31"/>
      <c r="B73" s="32"/>
      <c r="C73" s="33"/>
      <c r="D73" s="29"/>
      <c r="E73" s="29"/>
      <c r="F73" s="29"/>
      <c r="G73" s="29"/>
      <c r="H73" s="29"/>
      <c r="I73" s="29"/>
      <c r="J73" s="29"/>
      <c r="K73" s="29"/>
      <c r="L73" s="30"/>
    </row>
    <row r="74" spans="1:12" x14ac:dyDescent="0.3">
      <c r="A74" s="31"/>
      <c r="B74" s="32"/>
      <c r="C74" s="33"/>
      <c r="D74" s="29"/>
      <c r="E74" s="29"/>
      <c r="F74" s="29"/>
      <c r="G74" s="29"/>
      <c r="H74" s="29"/>
      <c r="I74" s="29"/>
      <c r="J74" s="29"/>
      <c r="K74" s="29"/>
      <c r="L74" s="30"/>
    </row>
    <row r="75" spans="1:12" x14ac:dyDescent="0.3">
      <c r="A75" s="31"/>
      <c r="B75" s="32"/>
      <c r="C75" s="33"/>
      <c r="D75" s="29"/>
      <c r="E75" s="29"/>
      <c r="F75" s="29"/>
      <c r="G75" s="29"/>
      <c r="H75" s="29"/>
      <c r="I75" s="29"/>
      <c r="J75" s="29"/>
      <c r="K75" s="29"/>
      <c r="L75" s="30"/>
    </row>
    <row r="76" spans="1:12" x14ac:dyDescent="0.3">
      <c r="A76" s="31"/>
      <c r="B76" s="32"/>
      <c r="C76" s="33"/>
      <c r="D76" s="29"/>
      <c r="E76" s="29"/>
      <c r="F76" s="29"/>
      <c r="G76" s="29"/>
      <c r="H76" s="29"/>
      <c r="I76" s="29"/>
      <c r="J76" s="29"/>
      <c r="K76" s="29"/>
      <c r="L76" s="30"/>
    </row>
    <row r="77" spans="1:12" x14ac:dyDescent="0.3">
      <c r="A77" s="31"/>
      <c r="B77" s="32"/>
      <c r="C77" s="33"/>
      <c r="D77" s="29"/>
      <c r="E77" s="29"/>
      <c r="F77" s="29"/>
      <c r="G77" s="29"/>
      <c r="H77" s="29"/>
      <c r="I77" s="29"/>
      <c r="J77" s="29"/>
      <c r="K77" s="29"/>
      <c r="L77" s="30"/>
    </row>
    <row r="78" spans="1:12" x14ac:dyDescent="0.3">
      <c r="A78" s="31"/>
      <c r="B78" s="32"/>
      <c r="C78" s="33"/>
      <c r="D78" s="29"/>
      <c r="E78" s="29"/>
      <c r="F78" s="29"/>
      <c r="G78" s="29"/>
      <c r="H78" s="29"/>
      <c r="I78" s="29"/>
      <c r="J78" s="29"/>
      <c r="K78" s="29"/>
      <c r="L78" s="30"/>
    </row>
    <row r="79" spans="1:12" x14ac:dyDescent="0.3">
      <c r="A79" s="31"/>
      <c r="B79" s="32"/>
      <c r="C79" s="33"/>
      <c r="D79" s="29"/>
      <c r="E79" s="29"/>
      <c r="F79" s="29"/>
      <c r="G79" s="29"/>
      <c r="H79" s="29"/>
      <c r="I79" s="29"/>
      <c r="J79" s="29"/>
      <c r="K79" s="29"/>
      <c r="L79" s="30"/>
    </row>
    <row r="80" spans="1:12" x14ac:dyDescent="0.3">
      <c r="A80" s="31"/>
      <c r="B80" s="32"/>
      <c r="C80" s="33"/>
      <c r="D80" s="29"/>
      <c r="E80" s="29"/>
      <c r="F80" s="29"/>
      <c r="G80" s="29"/>
      <c r="H80" s="29"/>
      <c r="I80" s="29"/>
      <c r="J80" s="29"/>
      <c r="K80" s="29"/>
      <c r="L80" s="30"/>
    </row>
    <row r="81" spans="1:12" x14ac:dyDescent="0.3">
      <c r="A81" s="31"/>
      <c r="B81" s="32"/>
      <c r="C81" s="33"/>
      <c r="D81" s="29"/>
      <c r="E81" s="29"/>
      <c r="F81" s="29"/>
      <c r="G81" s="29"/>
      <c r="H81" s="29"/>
      <c r="I81" s="29"/>
      <c r="J81" s="29"/>
      <c r="K81" s="29"/>
      <c r="L81" s="30"/>
    </row>
    <row r="82" spans="1:12" x14ac:dyDescent="0.3">
      <c r="A82" s="31"/>
      <c r="B82" s="32"/>
      <c r="C82" s="33"/>
      <c r="D82" s="29"/>
      <c r="E82" s="29"/>
      <c r="F82" s="29"/>
      <c r="G82" s="29"/>
      <c r="H82" s="29"/>
      <c r="I82" s="29"/>
      <c r="J82" s="29"/>
      <c r="K82" s="29"/>
      <c r="L82" s="30"/>
    </row>
    <row r="83" spans="1:12" x14ac:dyDescent="0.3">
      <c r="A83" s="31"/>
      <c r="B83" s="32"/>
      <c r="C83" s="33"/>
      <c r="D83" s="29"/>
      <c r="E83" s="29"/>
      <c r="F83" s="29"/>
      <c r="G83" s="29"/>
      <c r="H83" s="29"/>
      <c r="I83" s="29"/>
      <c r="J83" s="29"/>
      <c r="K83" s="29"/>
      <c r="L83" s="30"/>
    </row>
    <row r="84" spans="1:12" ht="15.6" x14ac:dyDescent="0.3">
      <c r="A84" s="61"/>
      <c r="B84" s="149" t="s">
        <v>72</v>
      </c>
      <c r="C84" s="62"/>
      <c r="D84" s="63"/>
      <c r="E84" s="63"/>
      <c r="F84" s="63"/>
      <c r="G84" s="63"/>
      <c r="H84" s="63"/>
      <c r="I84" s="63"/>
      <c r="J84" s="63"/>
      <c r="K84" s="63"/>
      <c r="L84" s="64"/>
    </row>
  </sheetData>
  <mergeCells count="6">
    <mergeCell ref="B24:C24"/>
    <mergeCell ref="C41:E41"/>
    <mergeCell ref="C42:E42"/>
    <mergeCell ref="C43:E43"/>
    <mergeCell ref="A67:A69"/>
    <mergeCell ref="B67:B69"/>
  </mergeCells>
  <phoneticPr fontId="35" type="noConversion"/>
  <conditionalFormatting sqref="C22">
    <cfRule type="cellIs" dxfId="26" priority="5" operator="equal">
      <formula>"High"</formula>
    </cfRule>
    <cfRule type="cellIs" dxfId="25" priority="6" operator="equal">
      <formula>"Medium"</formula>
    </cfRule>
    <cfRule type="cellIs" dxfId="24" priority="7" operator="equal">
      <formula>"Low"</formula>
    </cfRule>
  </conditionalFormatting>
  <conditionalFormatting sqref="C36">
    <cfRule type="cellIs" dxfId="23" priority="2" operator="equal">
      <formula>"Excellent"</formula>
    </cfRule>
    <cfRule type="cellIs" dxfId="22" priority="3" operator="equal">
      <formula>"Good"</formula>
    </cfRule>
    <cfRule type="cellIs" dxfId="21" priority="4" operator="equal">
      <formula>"Fair"</formula>
    </cfRule>
  </conditionalFormatting>
  <dataValidations disablePrompts="1" count="3">
    <dataValidation type="list" allowBlank="1" showInputMessage="1" showErrorMessage="1" sqref="C22" xr:uid="{BF15226C-1C64-4539-90D7-C0B022D5151D}">
      <formula1>"Low, Medium, High"</formula1>
    </dataValidation>
    <dataValidation type="list" allowBlank="1" showInputMessage="1" showErrorMessage="1" sqref="C36" xr:uid="{F09229AF-A40E-4C42-A5AA-5D2E66C8F6D8}">
      <formula1>"Fair, Good, Excellent"</formula1>
    </dataValidation>
    <dataValidation type="list" allowBlank="1" showInputMessage="1" showErrorMessage="1" sqref="C21" xr:uid="{6BF1CF9B-B675-49F1-955C-ADCE987D0DFD}">
      <formula1>"Forecast, Evaluative"</formula1>
    </dataValidation>
  </dataValidations>
  <hyperlinks>
    <hyperlink ref="C8" r:id="rId1" xr:uid="{98B8D381-E34D-488B-B065-9E69A651C0A1}"/>
    <hyperlink ref="C7" r:id="rId2" xr:uid="{21A81B9C-8118-48BA-9627-100277D1BAA9}"/>
    <hyperlink ref="C23" r:id="rId3" xr:uid="{3495ED55-5A60-48E8-9F75-BD1001D338B5}"/>
  </hyperlinks>
  <pageMargins left="0.7" right="0.7" top="0.75" bottom="0.75" header="0.3" footer="0.3"/>
  <pageSetup paperSize="9" orientation="portrait" horizontalDpi="1200" verticalDpi="1200"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A3DCB-C1B8-4725-805B-CD5B6FD34C12}">
  <dimension ref="A1:Q61"/>
  <sheetViews>
    <sheetView showGridLines="0" topLeftCell="A27" zoomScale="70" zoomScaleNormal="70" workbookViewId="0">
      <selection activeCell="F63" sqref="F63"/>
    </sheetView>
  </sheetViews>
  <sheetFormatPr defaultColWidth="8.6640625" defaultRowHeight="14.4" x14ac:dyDescent="0.3"/>
  <sheetData>
    <row r="1" spans="1:17" ht="18" x14ac:dyDescent="0.35">
      <c r="A1" s="142" t="s">
        <v>285</v>
      </c>
      <c r="B1" s="72"/>
      <c r="C1" s="72"/>
      <c r="D1" s="72"/>
      <c r="E1" s="72"/>
      <c r="F1" s="72"/>
      <c r="G1" s="72"/>
      <c r="H1" s="72"/>
      <c r="I1" s="72"/>
      <c r="J1" s="72"/>
      <c r="K1" s="72"/>
      <c r="L1" s="72"/>
      <c r="M1" s="72"/>
      <c r="N1" s="72"/>
      <c r="O1" s="72"/>
      <c r="P1" s="72"/>
      <c r="Q1" s="73"/>
    </row>
    <row r="2" spans="1:17" x14ac:dyDescent="0.3">
      <c r="A2" s="15"/>
      <c r="Q2" s="16"/>
    </row>
    <row r="3" spans="1:17" x14ac:dyDescent="0.3">
      <c r="A3" s="15"/>
      <c r="Q3" s="16"/>
    </row>
    <row r="4" spans="1:17" x14ac:dyDescent="0.3">
      <c r="A4" s="15"/>
      <c r="Q4" s="16"/>
    </row>
    <row r="5" spans="1:17" x14ac:dyDescent="0.3">
      <c r="A5" s="15"/>
      <c r="Q5" s="16"/>
    </row>
    <row r="6" spans="1:17" x14ac:dyDescent="0.3">
      <c r="A6" s="15"/>
      <c r="Q6" s="16"/>
    </row>
    <row r="7" spans="1:17" x14ac:dyDescent="0.3">
      <c r="A7" s="15"/>
      <c r="Q7" s="16"/>
    </row>
    <row r="8" spans="1:17" x14ac:dyDescent="0.3">
      <c r="A8" s="15"/>
      <c r="Q8" s="16"/>
    </row>
    <row r="9" spans="1:17" x14ac:dyDescent="0.3">
      <c r="A9" s="15"/>
      <c r="Q9" s="16"/>
    </row>
    <row r="10" spans="1:17" x14ac:dyDescent="0.3">
      <c r="A10" s="15"/>
      <c r="Q10" s="16"/>
    </row>
    <row r="11" spans="1:17" x14ac:dyDescent="0.3">
      <c r="A11" s="15"/>
      <c r="Q11" s="16"/>
    </row>
    <row r="12" spans="1:17" x14ac:dyDescent="0.3">
      <c r="A12" s="15"/>
      <c r="Q12" s="16"/>
    </row>
    <row r="13" spans="1:17" x14ac:dyDescent="0.3">
      <c r="A13" s="15"/>
      <c r="Q13" s="16"/>
    </row>
    <row r="14" spans="1:17" x14ac:dyDescent="0.3">
      <c r="A14" s="15"/>
      <c r="Q14" s="16"/>
    </row>
    <row r="15" spans="1:17" x14ac:dyDescent="0.3">
      <c r="A15" s="15"/>
      <c r="Q15" s="16"/>
    </row>
    <row r="16" spans="1:17" x14ac:dyDescent="0.3">
      <c r="A16" s="15"/>
      <c r="Q16" s="16"/>
    </row>
    <row r="17" spans="1:17" x14ac:dyDescent="0.3">
      <c r="A17" s="15"/>
      <c r="Q17" s="16"/>
    </row>
    <row r="18" spans="1:17" x14ac:dyDescent="0.3">
      <c r="A18" s="15"/>
      <c r="Q18" s="16"/>
    </row>
    <row r="19" spans="1:17" x14ac:dyDescent="0.3">
      <c r="A19" s="15"/>
      <c r="Q19" s="16"/>
    </row>
    <row r="20" spans="1:17" x14ac:dyDescent="0.3">
      <c r="A20" s="15"/>
      <c r="Q20" s="16"/>
    </row>
    <row r="21" spans="1:17" x14ac:dyDescent="0.3">
      <c r="A21" s="15"/>
      <c r="Q21" s="16"/>
    </row>
    <row r="22" spans="1:17" x14ac:dyDescent="0.3">
      <c r="A22" s="15"/>
      <c r="Q22" s="16"/>
    </row>
    <row r="23" spans="1:17" x14ac:dyDescent="0.3">
      <c r="A23" s="15"/>
      <c r="Q23" s="16"/>
    </row>
    <row r="24" spans="1:17" x14ac:dyDescent="0.3">
      <c r="A24" s="15"/>
      <c r="Q24" s="16"/>
    </row>
    <row r="25" spans="1:17" x14ac:dyDescent="0.3">
      <c r="A25" s="15"/>
      <c r="Q25" s="16"/>
    </row>
    <row r="26" spans="1:17" x14ac:dyDescent="0.3">
      <c r="A26" s="15"/>
      <c r="Q26" s="16"/>
    </row>
    <row r="27" spans="1:17" x14ac:dyDescent="0.3">
      <c r="A27" s="15"/>
      <c r="Q27" s="16"/>
    </row>
    <row r="28" spans="1:17" ht="18" x14ac:dyDescent="0.35">
      <c r="A28" s="141" t="s">
        <v>286</v>
      </c>
      <c r="B28" s="12"/>
      <c r="C28" s="12"/>
      <c r="D28" s="12"/>
      <c r="E28" s="12"/>
      <c r="F28" s="12"/>
      <c r="G28" s="12"/>
      <c r="H28" s="12"/>
      <c r="I28" s="12"/>
      <c r="J28" s="12"/>
      <c r="K28" s="12"/>
      <c r="L28" s="12"/>
      <c r="M28" s="12"/>
      <c r="N28" s="12"/>
      <c r="O28" s="12"/>
      <c r="P28" s="12"/>
      <c r="Q28" s="17"/>
    </row>
    <row r="29" spans="1:17" x14ac:dyDescent="0.3">
      <c r="A29" s="15"/>
      <c r="Q29" s="16"/>
    </row>
    <row r="30" spans="1:17" x14ac:dyDescent="0.3">
      <c r="A30" s="15"/>
      <c r="Q30" s="16"/>
    </row>
    <row r="31" spans="1:17" x14ac:dyDescent="0.3">
      <c r="A31" s="15"/>
      <c r="Q31" s="16"/>
    </row>
    <row r="32" spans="1:17" x14ac:dyDescent="0.3">
      <c r="A32" s="15"/>
      <c r="Q32" s="16"/>
    </row>
    <row r="33" spans="1:17" x14ac:dyDescent="0.3">
      <c r="A33" s="15"/>
      <c r="Q33" s="16"/>
    </row>
    <row r="34" spans="1:17" x14ac:dyDescent="0.3">
      <c r="A34" s="15"/>
      <c r="Q34" s="16"/>
    </row>
    <row r="35" spans="1:17" x14ac:dyDescent="0.3">
      <c r="A35" s="15"/>
      <c r="Q35" s="16"/>
    </row>
    <row r="36" spans="1:17" x14ac:dyDescent="0.3">
      <c r="A36" s="15"/>
      <c r="Q36" s="16"/>
    </row>
    <row r="37" spans="1:17" x14ac:dyDescent="0.3">
      <c r="A37" s="15"/>
      <c r="Q37" s="16"/>
    </row>
    <row r="38" spans="1:17" x14ac:dyDescent="0.3">
      <c r="A38" s="15"/>
      <c r="Q38" s="16"/>
    </row>
    <row r="39" spans="1:17" x14ac:dyDescent="0.3">
      <c r="A39" s="15"/>
      <c r="Q39" s="16"/>
    </row>
    <row r="40" spans="1:17" x14ac:dyDescent="0.3">
      <c r="A40" s="15"/>
      <c r="Q40" s="16"/>
    </row>
    <row r="41" spans="1:17" x14ac:dyDescent="0.3">
      <c r="A41" s="15"/>
      <c r="Q41" s="16"/>
    </row>
    <row r="42" spans="1:17" x14ac:dyDescent="0.3">
      <c r="A42" s="15"/>
      <c r="Q42" s="16"/>
    </row>
    <row r="43" spans="1:17" x14ac:dyDescent="0.3">
      <c r="A43" s="15"/>
      <c r="Q43" s="16"/>
    </row>
    <row r="44" spans="1:17" x14ac:dyDescent="0.3">
      <c r="A44" s="15"/>
      <c r="Q44" s="16"/>
    </row>
    <row r="45" spans="1:17" x14ac:dyDescent="0.3">
      <c r="A45" s="15"/>
      <c r="Q45" s="16"/>
    </row>
    <row r="46" spans="1:17" x14ac:dyDescent="0.3">
      <c r="A46" s="15"/>
      <c r="Q46" s="16"/>
    </row>
    <row r="47" spans="1:17" x14ac:dyDescent="0.3">
      <c r="A47" s="15"/>
      <c r="Q47" s="16"/>
    </row>
    <row r="48" spans="1:17" x14ac:dyDescent="0.3">
      <c r="A48" s="15"/>
      <c r="Q48" s="16"/>
    </row>
    <row r="49" spans="1:17" x14ac:dyDescent="0.3">
      <c r="A49" s="15"/>
      <c r="Q49" s="16"/>
    </row>
    <row r="50" spans="1:17" x14ac:dyDescent="0.3">
      <c r="A50" s="15"/>
      <c r="Q50" s="16"/>
    </row>
    <row r="51" spans="1:17" x14ac:dyDescent="0.3">
      <c r="A51" s="15"/>
      <c r="Q51" s="16"/>
    </row>
    <row r="52" spans="1:17" x14ac:dyDescent="0.3">
      <c r="A52" s="15"/>
      <c r="Q52" s="16"/>
    </row>
    <row r="53" spans="1:17" x14ac:dyDescent="0.3">
      <c r="A53" s="15"/>
      <c r="Q53" s="16"/>
    </row>
    <row r="54" spans="1:17" x14ac:dyDescent="0.3">
      <c r="A54" s="15"/>
      <c r="Q54" s="16"/>
    </row>
    <row r="55" spans="1:17" x14ac:dyDescent="0.3">
      <c r="A55" s="15"/>
      <c r="Q55" s="16"/>
    </row>
    <row r="56" spans="1:17" x14ac:dyDescent="0.3">
      <c r="A56" s="15"/>
      <c r="Q56" s="16"/>
    </row>
    <row r="57" spans="1:17" x14ac:dyDescent="0.3">
      <c r="A57" s="15"/>
      <c r="Q57" s="16"/>
    </row>
    <row r="58" spans="1:17" x14ac:dyDescent="0.3">
      <c r="A58" s="15"/>
      <c r="Q58" s="16"/>
    </row>
    <row r="59" spans="1:17" x14ac:dyDescent="0.3">
      <c r="A59" s="15"/>
      <c r="Q59" s="16"/>
    </row>
    <row r="60" spans="1:17" x14ac:dyDescent="0.3">
      <c r="A60" s="15"/>
      <c r="Q60" s="16"/>
    </row>
    <row r="61" spans="1:17" x14ac:dyDescent="0.3">
      <c r="A61" s="66"/>
      <c r="B61" s="67"/>
      <c r="C61" s="67"/>
      <c r="D61" s="67"/>
      <c r="E61" s="67"/>
      <c r="F61" s="67"/>
      <c r="G61" s="67"/>
      <c r="H61" s="67"/>
      <c r="I61" s="67"/>
      <c r="J61" s="67"/>
      <c r="K61" s="67"/>
      <c r="L61" s="67"/>
      <c r="M61" s="67"/>
      <c r="N61" s="67"/>
      <c r="O61" s="67"/>
      <c r="P61" s="67"/>
      <c r="Q61" s="6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10D1-479A-4906-B65A-984E14A9DF30}">
  <dimension ref="A1:Q63"/>
  <sheetViews>
    <sheetView showGridLines="0" tabSelected="1" topLeftCell="A30" zoomScale="77" zoomScaleNormal="115" workbookViewId="0">
      <selection activeCell="G64" sqref="G64"/>
    </sheetView>
  </sheetViews>
  <sheetFormatPr defaultColWidth="8.6640625" defaultRowHeight="14.4" x14ac:dyDescent="0.3"/>
  <cols>
    <col min="1" max="1" width="6.6640625" customWidth="1"/>
    <col min="2" max="2" width="46.109375" customWidth="1"/>
    <col min="3" max="3" width="19.6640625" customWidth="1"/>
    <col min="4" max="4" width="13.6640625" customWidth="1"/>
    <col min="5" max="17" width="11.44140625" customWidth="1"/>
  </cols>
  <sheetData>
    <row r="1" spans="1:17" ht="18" x14ac:dyDescent="0.35">
      <c r="A1" s="95"/>
      <c r="B1" s="183" t="s">
        <v>237</v>
      </c>
      <c r="C1" s="71"/>
      <c r="D1" s="70"/>
      <c r="E1" s="72"/>
      <c r="F1" s="72"/>
      <c r="G1" s="72"/>
      <c r="H1" s="72"/>
      <c r="I1" s="72"/>
      <c r="J1" s="72"/>
      <c r="K1" s="72"/>
      <c r="L1" s="72"/>
      <c r="M1" s="72"/>
      <c r="N1" s="72"/>
      <c r="O1" s="72"/>
      <c r="P1" s="72"/>
      <c r="Q1" s="73"/>
    </row>
    <row r="2" spans="1:17" ht="18" x14ac:dyDescent="0.35">
      <c r="B2" s="19"/>
      <c r="C2" s="74"/>
      <c r="D2" s="75"/>
      <c r="Q2" s="16"/>
    </row>
    <row r="3" spans="1:17" ht="42" customHeight="1" x14ac:dyDescent="0.3">
      <c r="B3" s="167" t="s">
        <v>238</v>
      </c>
      <c r="C3" s="177" t="s">
        <v>239</v>
      </c>
      <c r="E3" s="337" t="s">
        <v>240</v>
      </c>
      <c r="F3" s="337"/>
      <c r="G3" s="337"/>
      <c r="H3" s="337"/>
      <c r="I3" s="337"/>
      <c r="J3" s="337"/>
      <c r="Q3" s="16"/>
    </row>
    <row r="4" spans="1:17" x14ac:dyDescent="0.3">
      <c r="B4" s="167" t="s">
        <v>241</v>
      </c>
      <c r="C4" s="177">
        <v>2023</v>
      </c>
      <c r="E4" s="336" t="s">
        <v>242</v>
      </c>
      <c r="F4" s="336"/>
      <c r="G4" s="336"/>
      <c r="H4" s="336"/>
      <c r="I4" s="336"/>
      <c r="J4" s="336"/>
      <c r="Q4" s="16"/>
    </row>
    <row r="5" spans="1:17" x14ac:dyDescent="0.3">
      <c r="B5" s="167" t="s">
        <v>243</v>
      </c>
      <c r="C5" s="178">
        <v>2021</v>
      </c>
      <c r="E5" s="335" t="s">
        <v>244</v>
      </c>
      <c r="F5" s="335"/>
      <c r="G5" s="335"/>
      <c r="H5" s="335"/>
      <c r="I5" s="335"/>
      <c r="J5" s="335"/>
      <c r="Q5" s="16"/>
    </row>
    <row r="6" spans="1:17" x14ac:dyDescent="0.3">
      <c r="B6" s="167" t="s">
        <v>245</v>
      </c>
      <c r="C6" s="178" t="s">
        <v>246</v>
      </c>
      <c r="Q6" s="16"/>
    </row>
    <row r="7" spans="1:17" x14ac:dyDescent="0.3">
      <c r="Q7" s="16"/>
    </row>
    <row r="8" spans="1:17" ht="18" x14ac:dyDescent="0.35">
      <c r="A8" s="95"/>
      <c r="B8" s="182" t="s">
        <v>247</v>
      </c>
      <c r="C8" s="127"/>
      <c r="D8" s="127"/>
      <c r="E8" s="127"/>
      <c r="F8" s="127"/>
      <c r="G8" s="127"/>
      <c r="H8" s="127"/>
      <c r="I8" s="127"/>
      <c r="J8" s="127"/>
      <c r="K8" s="127"/>
      <c r="L8" s="127"/>
      <c r="M8" s="127"/>
      <c r="N8" s="127"/>
      <c r="O8" s="127"/>
      <c r="P8" s="127"/>
      <c r="Q8" s="76"/>
    </row>
    <row r="9" spans="1:17" x14ac:dyDescent="0.3">
      <c r="Q9" s="16"/>
    </row>
    <row r="10" spans="1:17" ht="12.75" customHeight="1" x14ac:dyDescent="0.3">
      <c r="B10" s="146" t="s">
        <v>80</v>
      </c>
      <c r="C10" s="160" t="s">
        <v>81</v>
      </c>
      <c r="D10" s="286"/>
      <c r="Q10" s="16"/>
    </row>
    <row r="11" spans="1:17" x14ac:dyDescent="0.3">
      <c r="B11" s="227" t="s">
        <v>248</v>
      </c>
      <c r="C11" s="287">
        <v>7.2999999999999995E-2</v>
      </c>
      <c r="D11" s="286"/>
      <c r="Q11" s="16"/>
    </row>
    <row r="12" spans="1:17" x14ac:dyDescent="0.3">
      <c r="B12" s="190" t="s">
        <v>249</v>
      </c>
      <c r="C12" s="286"/>
      <c r="D12" s="286"/>
      <c r="Q12" s="16"/>
    </row>
    <row r="13" spans="1:17" ht="15" customHeight="1" x14ac:dyDescent="0.35">
      <c r="A13" s="74"/>
      <c r="B13" s="19"/>
      <c r="C13" s="19"/>
      <c r="D13" s="186"/>
      <c r="E13" s="19"/>
      <c r="F13" s="19"/>
      <c r="G13" s="19"/>
      <c r="H13" s="19"/>
      <c r="I13" s="19"/>
      <c r="J13" s="19"/>
      <c r="K13" s="19"/>
      <c r="L13" s="19"/>
      <c r="M13" s="19"/>
      <c r="N13" s="19"/>
      <c r="O13" s="19"/>
      <c r="P13" s="19"/>
      <c r="Q13" s="179"/>
    </row>
    <row r="14" spans="1:17" x14ac:dyDescent="0.3">
      <c r="B14" s="140" t="s">
        <v>250</v>
      </c>
      <c r="C14" s="128"/>
      <c r="D14" s="186"/>
      <c r="Q14" s="16"/>
    </row>
    <row r="15" spans="1:17" ht="15.6" x14ac:dyDescent="0.3">
      <c r="B15" s="146" t="s">
        <v>80</v>
      </c>
      <c r="C15" s="160" t="s">
        <v>81</v>
      </c>
      <c r="D15" s="186"/>
      <c r="Q15" s="16"/>
    </row>
    <row r="16" spans="1:17" x14ac:dyDescent="0.3">
      <c r="B16" s="228" t="s">
        <v>251</v>
      </c>
      <c r="C16" s="288">
        <v>50</v>
      </c>
      <c r="D16" s="186"/>
      <c r="Q16" s="16"/>
    </row>
    <row r="17" spans="2:17" ht="17.25" customHeight="1" x14ac:dyDescent="0.3">
      <c r="B17" s="228" t="s">
        <v>252</v>
      </c>
      <c r="C17" s="289">
        <v>0.01</v>
      </c>
      <c r="D17" s="186"/>
      <c r="E17" t="s">
        <v>88</v>
      </c>
      <c r="Q17" s="16"/>
    </row>
    <row r="18" spans="2:17" ht="16.5" customHeight="1" x14ac:dyDescent="0.3">
      <c r="B18" s="228" t="s">
        <v>253</v>
      </c>
      <c r="C18" s="290">
        <v>0.05</v>
      </c>
      <c r="D18" s="186"/>
      <c r="E18" t="s">
        <v>88</v>
      </c>
      <c r="Q18" s="16"/>
    </row>
    <row r="19" spans="2:17" ht="16.5" customHeight="1" x14ac:dyDescent="0.3">
      <c r="B19" s="180" t="s">
        <v>254</v>
      </c>
      <c r="C19" s="291"/>
      <c r="D19" s="186"/>
      <c r="Q19" s="16"/>
    </row>
    <row r="20" spans="2:17" x14ac:dyDescent="0.3">
      <c r="Q20" s="16"/>
    </row>
    <row r="21" spans="2:17" x14ac:dyDescent="0.3">
      <c r="B21" s="161" t="s">
        <v>141</v>
      </c>
      <c r="C21" s="162">
        <v>2020</v>
      </c>
      <c r="D21" s="162">
        <v>2021</v>
      </c>
      <c r="E21" s="162">
        <v>2022</v>
      </c>
      <c r="F21" s="162">
        <v>2023</v>
      </c>
      <c r="G21" s="162">
        <v>2024</v>
      </c>
      <c r="H21" s="162">
        <v>2025</v>
      </c>
      <c r="I21" s="162">
        <v>2026</v>
      </c>
      <c r="J21" s="162">
        <v>2027</v>
      </c>
      <c r="K21" s="162">
        <v>2028</v>
      </c>
      <c r="L21" s="162">
        <v>2029</v>
      </c>
      <c r="M21" s="162">
        <v>2030</v>
      </c>
      <c r="N21" s="162">
        <v>2031</v>
      </c>
      <c r="O21" s="162">
        <v>2032</v>
      </c>
      <c r="P21" s="162">
        <v>2033</v>
      </c>
      <c r="Q21" s="77"/>
    </row>
    <row r="22" spans="2:17" x14ac:dyDescent="0.3">
      <c r="B22" s="292" t="s">
        <v>255</v>
      </c>
      <c r="C22" s="293">
        <v>60</v>
      </c>
      <c r="D22" s="293">
        <f>AVERAGE(C22,E22)</f>
        <v>89</v>
      </c>
      <c r="E22" s="293">
        <v>118</v>
      </c>
      <c r="F22" s="293">
        <v>170</v>
      </c>
      <c r="G22" s="294">
        <f t="shared" ref="G22:P22" si="0">AVERAGE($C$22:$E$22)</f>
        <v>89</v>
      </c>
      <c r="H22" s="294">
        <f t="shared" si="0"/>
        <v>89</v>
      </c>
      <c r="I22" s="294">
        <f t="shared" si="0"/>
        <v>89</v>
      </c>
      <c r="J22" s="294">
        <f t="shared" si="0"/>
        <v>89</v>
      </c>
      <c r="K22" s="294">
        <f t="shared" si="0"/>
        <v>89</v>
      </c>
      <c r="L22" s="294">
        <f t="shared" si="0"/>
        <v>89</v>
      </c>
      <c r="M22" s="294">
        <f t="shared" si="0"/>
        <v>89</v>
      </c>
      <c r="N22" s="294">
        <f t="shared" si="0"/>
        <v>89</v>
      </c>
      <c r="O22" s="294">
        <f t="shared" si="0"/>
        <v>89</v>
      </c>
      <c r="P22" s="294">
        <f t="shared" si="0"/>
        <v>89</v>
      </c>
      <c r="Q22" s="129" t="s">
        <v>256</v>
      </c>
    </row>
    <row r="23" spans="2:17" ht="20.25" customHeight="1" x14ac:dyDescent="0.3">
      <c r="B23" s="292" t="s">
        <v>257</v>
      </c>
      <c r="C23" s="293">
        <f>C22/(G42/[1]Assumptions!$H$48)</f>
        <v>503.93521012656021</v>
      </c>
      <c r="D23" s="293">
        <f>D22/(H42/[1]Assumptions!$H$48)</f>
        <v>354.07723626521602</v>
      </c>
      <c r="E23" s="293">
        <f>E22/(I42/[1]Assumptions!$H$48)</f>
        <v>816.86414547355707</v>
      </c>
      <c r="F23" s="293">
        <f>F22/(J42/[1]Assumptions!$H$48)</f>
        <v>1176.8381756822432</v>
      </c>
      <c r="G23" s="294">
        <f t="shared" ref="G23:P23" si="1">AVERAGE($C$23:$E$23)</f>
        <v>558.29219728844441</v>
      </c>
      <c r="H23" s="294">
        <f t="shared" si="1"/>
        <v>558.29219728844441</v>
      </c>
      <c r="I23" s="294">
        <f t="shared" si="1"/>
        <v>558.29219728844441</v>
      </c>
      <c r="J23" s="294">
        <f t="shared" si="1"/>
        <v>558.29219728844441</v>
      </c>
      <c r="K23" s="294">
        <f t="shared" si="1"/>
        <v>558.29219728844441</v>
      </c>
      <c r="L23" s="294">
        <f t="shared" si="1"/>
        <v>558.29219728844441</v>
      </c>
      <c r="M23" s="294">
        <f t="shared" si="1"/>
        <v>558.29219728844441</v>
      </c>
      <c r="N23" s="294">
        <f t="shared" si="1"/>
        <v>558.29219728844441</v>
      </c>
      <c r="O23" s="294">
        <f t="shared" si="1"/>
        <v>558.29219728844441</v>
      </c>
      <c r="P23" s="294">
        <f t="shared" si="1"/>
        <v>558.29219728844441</v>
      </c>
      <c r="Q23" s="129"/>
    </row>
    <row r="24" spans="2:17" ht="20.25" customHeight="1" x14ac:dyDescent="0.3">
      <c r="B24" s="292" t="s">
        <v>258</v>
      </c>
      <c r="C24" s="293">
        <f>C22/(C54/$D$54)</f>
        <v>72.638114217657389</v>
      </c>
      <c r="D24" s="293">
        <f>D22/(D54/$D$54)</f>
        <v>89</v>
      </c>
      <c r="E24" s="293">
        <f>E22/(E54/$D$54)</f>
        <v>88.489226026997017</v>
      </c>
      <c r="F24" s="293">
        <f>F22/(F54/$D$54)</f>
        <v>96.434951252462241</v>
      </c>
      <c r="G24" s="294">
        <f t="shared" ref="G24:P24" si="2">AVERAGE($C$24:$E$24)</f>
        <v>83.375780081551468</v>
      </c>
      <c r="H24" s="294">
        <f t="shared" si="2"/>
        <v>83.375780081551468</v>
      </c>
      <c r="I24" s="294">
        <f t="shared" si="2"/>
        <v>83.375780081551468</v>
      </c>
      <c r="J24" s="294">
        <f t="shared" si="2"/>
        <v>83.375780081551468</v>
      </c>
      <c r="K24" s="294">
        <f t="shared" si="2"/>
        <v>83.375780081551468</v>
      </c>
      <c r="L24" s="294">
        <f t="shared" si="2"/>
        <v>83.375780081551468</v>
      </c>
      <c r="M24" s="294">
        <f t="shared" si="2"/>
        <v>83.375780081551468</v>
      </c>
      <c r="N24" s="294">
        <f t="shared" si="2"/>
        <v>83.375780081551468</v>
      </c>
      <c r="O24" s="294">
        <f t="shared" si="2"/>
        <v>83.375780081551468</v>
      </c>
      <c r="P24" s="294">
        <f t="shared" si="2"/>
        <v>83.375780081551468</v>
      </c>
      <c r="Q24" s="16"/>
    </row>
    <row r="25" spans="2:17" x14ac:dyDescent="0.3">
      <c r="Q25" s="16"/>
    </row>
    <row r="26" spans="2:17" x14ac:dyDescent="0.3">
      <c r="B26" s="139" t="s">
        <v>259</v>
      </c>
      <c r="C26" s="130"/>
      <c r="D26" s="295"/>
      <c r="E26" s="296"/>
      <c r="F26" s="296"/>
      <c r="G26" s="296"/>
      <c r="H26" s="296"/>
      <c r="I26" s="296"/>
      <c r="J26" s="296"/>
      <c r="K26" s="296"/>
      <c r="Q26" s="16"/>
    </row>
    <row r="27" spans="2:17" x14ac:dyDescent="0.3">
      <c r="B27" s="163" t="s">
        <v>141</v>
      </c>
      <c r="C27" s="164" t="s">
        <v>260</v>
      </c>
      <c r="D27" s="164" t="s">
        <v>261</v>
      </c>
      <c r="E27" s="164" t="s">
        <v>161</v>
      </c>
      <c r="F27" s="164" t="s">
        <v>163</v>
      </c>
      <c r="G27" s="164" t="s">
        <v>165</v>
      </c>
      <c r="H27" s="164" t="s">
        <v>167</v>
      </c>
      <c r="I27" s="164" t="s">
        <v>168</v>
      </c>
      <c r="J27" s="164" t="s">
        <v>170</v>
      </c>
      <c r="K27" s="164" t="s">
        <v>171</v>
      </c>
      <c r="Q27" s="16"/>
    </row>
    <row r="28" spans="2:17" x14ac:dyDescent="0.3">
      <c r="B28" s="227" t="s">
        <v>262</v>
      </c>
      <c r="C28" s="297">
        <f>C29*0</f>
        <v>0</v>
      </c>
      <c r="D28" s="297">
        <f>D29*0.6363*SROI!$C$11</f>
        <v>0.69993000000000005</v>
      </c>
      <c r="E28" s="297">
        <f>E29*(1+((2.8888-1)*SROI!$C$11))</f>
        <v>2.59992</v>
      </c>
      <c r="F28" s="297">
        <f>F29*(1 +((2.5384 - 1) * SROI!$C$11))</f>
        <v>3.2999200000000002</v>
      </c>
      <c r="G28" s="297">
        <f>G29*(1 +((2.8 - 1) * SROI!$C$11))</f>
        <v>2.8</v>
      </c>
      <c r="H28" s="297">
        <f>H29*(1 +((2 - 1) * SROI!$C$11))</f>
        <v>2.6</v>
      </c>
      <c r="I28" s="297">
        <f>I29*(1 +((1.5625 - 1) * SROI!$C$11))</f>
        <v>2.5</v>
      </c>
      <c r="J28" s="297">
        <f>J29*(1 +((1.5 - 1) * SROI!$C$11))</f>
        <v>2.4000000000000004</v>
      </c>
      <c r="K28" s="297">
        <f>K29*(1 +((2 - 1) * SROI!$C$11))</f>
        <v>2.2000000000000002</v>
      </c>
      <c r="Q28" s="16"/>
    </row>
    <row r="29" spans="2:17" x14ac:dyDescent="0.3">
      <c r="B29" s="220" t="s">
        <v>263</v>
      </c>
      <c r="C29" s="297">
        <f>1.1*SROI!$C$9</f>
        <v>1.1000000000000001</v>
      </c>
      <c r="D29" s="297">
        <f>1.1*SROI!$C$9</f>
        <v>1.1000000000000001</v>
      </c>
      <c r="E29" s="297">
        <f>0.9*SROI!$C$9</f>
        <v>0.9</v>
      </c>
      <c r="F29" s="297">
        <f>1.3*SROI!$C$9</f>
        <v>1.3</v>
      </c>
      <c r="G29" s="297">
        <f>1*SROI!$C$9</f>
        <v>1</v>
      </c>
      <c r="H29" s="297">
        <f>1.3*SROI!$C$9</f>
        <v>1.3</v>
      </c>
      <c r="I29" s="297">
        <f>1.6*SROI!$C$9</f>
        <v>1.6</v>
      </c>
      <c r="J29" s="297">
        <f>1.6*SROI!$C$9</f>
        <v>1.6</v>
      </c>
      <c r="K29" s="297">
        <f>1.1*SROI!$C$9</f>
        <v>1.1000000000000001</v>
      </c>
      <c r="Q29" s="16"/>
    </row>
    <row r="30" spans="2:17" ht="16.5" customHeight="1" x14ac:dyDescent="0.3">
      <c r="B30" s="227" t="s">
        <v>264</v>
      </c>
      <c r="C30" s="298">
        <f>C28-C29</f>
        <v>-1.1000000000000001</v>
      </c>
      <c r="D30" s="298">
        <f t="shared" ref="D30:K30" si="3">D28-D29</f>
        <v>-0.40007000000000004</v>
      </c>
      <c r="E30" s="298">
        <f t="shared" si="3"/>
        <v>1.6999200000000001</v>
      </c>
      <c r="F30" s="298">
        <f t="shared" si="3"/>
        <v>1.9999200000000001</v>
      </c>
      <c r="G30" s="298">
        <f t="shared" si="3"/>
        <v>1.7999999999999998</v>
      </c>
      <c r="H30" s="298">
        <f t="shared" si="3"/>
        <v>1.3</v>
      </c>
      <c r="I30" s="298">
        <f t="shared" si="3"/>
        <v>0.89999999999999991</v>
      </c>
      <c r="J30" s="298">
        <f t="shared" si="3"/>
        <v>0.80000000000000027</v>
      </c>
      <c r="K30" s="298">
        <f t="shared" si="3"/>
        <v>1.1000000000000001</v>
      </c>
      <c r="Q30" s="16"/>
    </row>
    <row r="31" spans="2:17" ht="16.5" customHeight="1" x14ac:dyDescent="0.3">
      <c r="B31" s="200" t="s">
        <v>265</v>
      </c>
      <c r="Q31" s="16"/>
    </row>
    <row r="32" spans="2:17" x14ac:dyDescent="0.3">
      <c r="Q32" s="16"/>
    </row>
    <row r="33" spans="2:17" x14ac:dyDescent="0.3">
      <c r="B33" s="139" t="s">
        <v>266</v>
      </c>
      <c r="C33" s="130"/>
      <c r="D33" s="295"/>
      <c r="E33" s="296"/>
      <c r="F33" s="296"/>
      <c r="G33" s="296"/>
      <c r="H33" s="296"/>
      <c r="I33" s="296"/>
      <c r="J33" s="296"/>
      <c r="K33" s="296"/>
      <c r="Q33" s="16"/>
    </row>
    <row r="34" spans="2:17" x14ac:dyDescent="0.3">
      <c r="B34" s="163" t="s">
        <v>141</v>
      </c>
      <c r="C34" s="164" t="s">
        <v>260</v>
      </c>
      <c r="D34" s="164" t="s">
        <v>261</v>
      </c>
      <c r="E34" s="164" t="s">
        <v>161</v>
      </c>
      <c r="F34" s="164" t="s">
        <v>163</v>
      </c>
      <c r="G34" s="164" t="s">
        <v>165</v>
      </c>
      <c r="H34" s="164" t="s">
        <v>167</v>
      </c>
      <c r="I34" s="164" t="s">
        <v>168</v>
      </c>
      <c r="J34" s="164" t="s">
        <v>170</v>
      </c>
      <c r="K34" s="164" t="s">
        <v>171</v>
      </c>
      <c r="Q34" s="16"/>
    </row>
    <row r="35" spans="2:17" x14ac:dyDescent="0.3">
      <c r="B35" s="227" t="s">
        <v>267</v>
      </c>
      <c r="C35" s="298">
        <v>0</v>
      </c>
      <c r="D35" s="298">
        <v>0</v>
      </c>
      <c r="E35" s="297">
        <f>D29*1.25</f>
        <v>1.375</v>
      </c>
      <c r="F35" s="297">
        <f>E29*1.25</f>
        <v>1.125</v>
      </c>
      <c r="G35" s="297">
        <f t="shared" ref="G35:K35" si="4">F29*1.25</f>
        <v>1.625</v>
      </c>
      <c r="H35" s="297">
        <f t="shared" si="4"/>
        <v>1.25</v>
      </c>
      <c r="I35" s="297">
        <f t="shared" si="4"/>
        <v>1.625</v>
      </c>
      <c r="J35" s="297">
        <f t="shared" si="4"/>
        <v>2</v>
      </c>
      <c r="K35" s="297">
        <f t="shared" si="4"/>
        <v>2</v>
      </c>
      <c r="Q35" s="16" t="s">
        <v>88</v>
      </c>
    </row>
    <row r="36" spans="2:17" x14ac:dyDescent="0.3">
      <c r="B36" s="220" t="s">
        <v>268</v>
      </c>
      <c r="C36" s="298">
        <v>0</v>
      </c>
      <c r="D36" s="298">
        <v>0</v>
      </c>
      <c r="E36" s="298">
        <f>E35-D29</f>
        <v>0.27499999999999991</v>
      </c>
      <c r="F36" s="298">
        <f t="shared" ref="F36:K36" si="5">F35-E29</f>
        <v>0.22499999999999998</v>
      </c>
      <c r="G36" s="298">
        <f t="shared" si="5"/>
        <v>0.32499999999999996</v>
      </c>
      <c r="H36" s="298">
        <f t="shared" si="5"/>
        <v>0.25</v>
      </c>
      <c r="I36" s="298">
        <f t="shared" si="5"/>
        <v>0.32499999999999996</v>
      </c>
      <c r="J36" s="298">
        <f t="shared" si="5"/>
        <v>0.39999999999999991</v>
      </c>
      <c r="K36" s="298">
        <f t="shared" si="5"/>
        <v>0.39999999999999991</v>
      </c>
      <c r="L36" s="69"/>
      <c r="Q36" s="16"/>
    </row>
    <row r="37" spans="2:17" x14ac:dyDescent="0.3">
      <c r="B37" s="189" t="s">
        <v>269</v>
      </c>
      <c r="C37" s="299"/>
      <c r="D37" s="299"/>
      <c r="E37" s="299"/>
      <c r="F37" s="299"/>
      <c r="G37" s="299"/>
      <c r="H37" s="299"/>
      <c r="I37" s="299"/>
      <c r="J37" s="299"/>
      <c r="K37" s="299"/>
      <c r="L37" s="69"/>
      <c r="Q37" s="16"/>
    </row>
    <row r="38" spans="2:17" x14ac:dyDescent="0.3">
      <c r="B38" s="186"/>
      <c r="C38" s="299"/>
      <c r="D38" s="299"/>
      <c r="E38" s="299"/>
      <c r="F38" s="299"/>
      <c r="G38" s="299"/>
      <c r="H38" s="299"/>
      <c r="I38" s="299"/>
      <c r="J38" s="299"/>
      <c r="K38" s="299"/>
      <c r="L38" s="69"/>
      <c r="Q38" s="16"/>
    </row>
    <row r="39" spans="2:17" x14ac:dyDescent="0.3">
      <c r="B39" s="139" t="s">
        <v>270</v>
      </c>
      <c r="Q39" s="16"/>
    </row>
    <row r="40" spans="2:17" x14ac:dyDescent="0.3">
      <c r="B40" s="161" t="s">
        <v>141</v>
      </c>
      <c r="C40" s="164">
        <v>2020</v>
      </c>
      <c r="D40" s="164">
        <v>2021</v>
      </c>
      <c r="E40" s="164">
        <v>2022</v>
      </c>
      <c r="F40" s="164">
        <v>2023</v>
      </c>
      <c r="G40" s="164">
        <v>2024</v>
      </c>
      <c r="H40" s="164">
        <v>2025</v>
      </c>
      <c r="I40" s="164">
        <v>2026</v>
      </c>
      <c r="J40" s="164">
        <v>2027</v>
      </c>
      <c r="K40" s="164">
        <v>2028</v>
      </c>
      <c r="L40" s="164">
        <v>2029</v>
      </c>
      <c r="M40" s="164">
        <v>2030</v>
      </c>
      <c r="N40" s="164">
        <v>2031</v>
      </c>
      <c r="O40" s="164">
        <v>2032</v>
      </c>
      <c r="P40" s="164">
        <v>2033</v>
      </c>
      <c r="Q40" s="77"/>
    </row>
    <row r="41" spans="2:17" x14ac:dyDescent="0.3">
      <c r="B41" s="233" t="s">
        <v>271</v>
      </c>
      <c r="C41" s="110">
        <v>19</v>
      </c>
      <c r="D41" s="110">
        <v>35</v>
      </c>
      <c r="E41" s="110">
        <v>50</v>
      </c>
      <c r="F41" s="110">
        <v>31</v>
      </c>
      <c r="G41" s="198">
        <v>67</v>
      </c>
      <c r="H41" s="198">
        <v>175</v>
      </c>
      <c r="I41" s="294">
        <f>AVERAGE($D$41:$H$41)*(1+SROI!$C$7)</f>
        <v>71.599999999999994</v>
      </c>
      <c r="J41" s="294">
        <f>AVERAGE($D$41:$H$41)*(1+SROI!$C$7)</f>
        <v>71.599999999999994</v>
      </c>
      <c r="K41" s="294">
        <f>AVERAGE($D$41:$H$41)*(1+SROI!$C$7)</f>
        <v>71.599999999999994</v>
      </c>
      <c r="L41" s="294">
        <f>AVERAGE($D$41:$H$41)*(1+SROI!$C$7)</f>
        <v>71.599999999999994</v>
      </c>
      <c r="M41" s="294">
        <f>AVERAGE($D$41:$H$41)*(1+SROI!$C$7)</f>
        <v>71.599999999999994</v>
      </c>
      <c r="N41" s="294">
        <f>AVERAGE($D$41:$H$41)*(1+SROI!$C$7)</f>
        <v>71.599999999999994</v>
      </c>
      <c r="O41" s="294">
        <f>AVERAGE($D$41:$H$41)*(1+SROI!$C$7)</f>
        <v>71.599999999999994</v>
      </c>
      <c r="P41" s="294">
        <f>AVERAGE($D$41:$H$41)*(1+SROI!$C$7)</f>
        <v>71.599999999999994</v>
      </c>
      <c r="Q41" s="129"/>
    </row>
    <row r="42" spans="2:17" x14ac:dyDescent="0.3">
      <c r="B42" s="233" t="s">
        <v>272</v>
      </c>
      <c r="C42" s="110">
        <f t="shared" ref="C42:H42" si="6">C41/(C54/$F$54)</f>
        <v>40.54911382852022</v>
      </c>
      <c r="D42" s="110">
        <f t="shared" si="6"/>
        <v>61.699621586608949</v>
      </c>
      <c r="E42" s="110">
        <f t="shared" si="6"/>
        <v>66.098689592707302</v>
      </c>
      <c r="F42" s="110">
        <f t="shared" si="6"/>
        <v>31</v>
      </c>
      <c r="G42" s="110">
        <f t="shared" si="6"/>
        <v>53.735360133298173</v>
      </c>
      <c r="H42" s="110">
        <f t="shared" si="6"/>
        <v>113.44245516510202</v>
      </c>
      <c r="I42" s="294">
        <f>AVERAGE($D$42:$H$42)*(1+SROI!$C$7)</f>
        <v>65.195225295543281</v>
      </c>
      <c r="J42" s="294">
        <f>AVERAGE($D$42:$H$42)*(1+SROI!$C$7)</f>
        <v>65.195225295543281</v>
      </c>
      <c r="K42" s="294">
        <f>AVERAGE($D$42:$H$42)*(1+SROI!$C$7)</f>
        <v>65.195225295543281</v>
      </c>
      <c r="L42" s="294">
        <f>AVERAGE($D$42:$H$42)*(1+SROI!$C$7)</f>
        <v>65.195225295543281</v>
      </c>
      <c r="M42" s="294">
        <f>AVERAGE($D$42:$H$42)*(1+SROI!$C$7)</f>
        <v>65.195225295543281</v>
      </c>
      <c r="N42" s="294">
        <f>AVERAGE($D$42:$H$42)*(1+SROI!$C$7)</f>
        <v>65.195225295543281</v>
      </c>
      <c r="O42" s="294">
        <f>AVERAGE($D$42:$H$42)*(1+SROI!$C$7)</f>
        <v>65.195225295543281</v>
      </c>
      <c r="P42" s="294">
        <f>AVERAGE($D$42:$H$42)*(1+SROI!$C$7)</f>
        <v>65.195225295543281</v>
      </c>
      <c r="Q42" s="129"/>
    </row>
    <row r="43" spans="2:17" x14ac:dyDescent="0.3">
      <c r="B43" s="233" t="s">
        <v>273</v>
      </c>
      <c r="C43" s="110">
        <f t="shared" ref="C43:H43" si="7">C41/(C54/$D$54)</f>
        <v>23.002069502258173</v>
      </c>
      <c r="D43" s="110">
        <f t="shared" si="7"/>
        <v>35</v>
      </c>
      <c r="E43" s="110">
        <f t="shared" si="7"/>
        <v>37.495434757202126</v>
      </c>
      <c r="F43" s="110">
        <f t="shared" si="7"/>
        <v>17.585196993096055</v>
      </c>
      <c r="G43" s="110">
        <f t="shared" si="7"/>
        <v>30.482157852871246</v>
      </c>
      <c r="H43" s="110">
        <f t="shared" si="7"/>
        <v>64.351868434154397</v>
      </c>
      <c r="I43" s="294">
        <f>AVERAGE($D$43:$H$43)*(1+SROI!$C$7)</f>
        <v>36.982931607464764</v>
      </c>
      <c r="J43" s="294">
        <f>AVERAGE($D$43:$H$43)*(1+SROI!$C$7)</f>
        <v>36.982931607464764</v>
      </c>
      <c r="K43" s="294">
        <f>AVERAGE($D$43:$H$43)*(1+SROI!$C$7)</f>
        <v>36.982931607464764</v>
      </c>
      <c r="L43" s="294">
        <f>AVERAGE($D$43:$H$43)*(1+SROI!$C$7)</f>
        <v>36.982931607464764</v>
      </c>
      <c r="M43" s="294">
        <f>AVERAGE($D$43:$H$43)*(1+SROI!$C$7)</f>
        <v>36.982931607464764</v>
      </c>
      <c r="N43" s="294">
        <f>AVERAGE($D$43:$H$43)*(1+SROI!$C$7)</f>
        <v>36.982931607464764</v>
      </c>
      <c r="O43" s="294">
        <f>AVERAGE($D$43:$H$43)*(1+SROI!$C$7)</f>
        <v>36.982931607464764</v>
      </c>
      <c r="P43" s="294">
        <f>AVERAGE($D$43:$H$43)*(1+SROI!$C$7)</f>
        <v>36.982931607464764</v>
      </c>
      <c r="Q43" s="300"/>
    </row>
    <row r="44" spans="2:17" x14ac:dyDescent="0.3">
      <c r="C44" s="186"/>
      <c r="D44" s="131"/>
      <c r="E44" s="296"/>
      <c r="F44" s="296"/>
      <c r="G44" s="296"/>
      <c r="H44" s="296"/>
      <c r="I44" s="296"/>
      <c r="J44" s="296"/>
      <c r="K44" s="296"/>
      <c r="L44" s="296"/>
      <c r="M44" s="296"/>
      <c r="N44" s="296"/>
      <c r="O44" s="296"/>
      <c r="P44" s="296"/>
      <c r="Q44" s="16"/>
    </row>
    <row r="45" spans="2:17" x14ac:dyDescent="0.3">
      <c r="B45" s="161" t="s">
        <v>141</v>
      </c>
      <c r="C45" s="164">
        <v>2020</v>
      </c>
      <c r="D45" s="164">
        <v>2021</v>
      </c>
      <c r="E45" s="164">
        <v>2022</v>
      </c>
      <c r="F45" s="164">
        <v>2023</v>
      </c>
      <c r="G45" s="164">
        <v>2024</v>
      </c>
      <c r="H45" s="164">
        <v>2025</v>
      </c>
      <c r="I45" s="164">
        <v>2026</v>
      </c>
      <c r="J45" s="164">
        <v>2027</v>
      </c>
      <c r="K45" s="164">
        <v>2028</v>
      </c>
      <c r="L45" s="164">
        <v>2029</v>
      </c>
      <c r="M45" s="164">
        <v>2030</v>
      </c>
      <c r="N45" s="164">
        <v>2031</v>
      </c>
      <c r="O45" s="164">
        <v>2032</v>
      </c>
      <c r="P45" s="164">
        <v>2033</v>
      </c>
      <c r="Q45" s="77"/>
    </row>
    <row r="46" spans="2:17" x14ac:dyDescent="0.3">
      <c r="B46" s="301" t="s">
        <v>274</v>
      </c>
      <c r="C46" s="302">
        <v>9</v>
      </c>
      <c r="D46" s="302">
        <v>20</v>
      </c>
      <c r="E46" s="302">
        <v>22</v>
      </c>
      <c r="F46" s="110">
        <v>33</v>
      </c>
      <c r="G46" s="110">
        <v>34.75</v>
      </c>
      <c r="H46" s="110">
        <v>38</v>
      </c>
      <c r="I46" s="110">
        <v>51</v>
      </c>
      <c r="J46" s="294">
        <f t="shared" ref="J46:P46" si="8">AVERAGE($C$46:$F$46)</f>
        <v>21</v>
      </c>
      <c r="K46" s="294">
        <f t="shared" si="8"/>
        <v>21</v>
      </c>
      <c r="L46" s="294">
        <f t="shared" si="8"/>
        <v>21</v>
      </c>
      <c r="M46" s="294">
        <f t="shared" si="8"/>
        <v>21</v>
      </c>
      <c r="N46" s="294">
        <f t="shared" si="8"/>
        <v>21</v>
      </c>
      <c r="O46" s="294">
        <f t="shared" si="8"/>
        <v>21</v>
      </c>
      <c r="P46" s="294">
        <f t="shared" si="8"/>
        <v>21</v>
      </c>
      <c r="Q46" s="303"/>
    </row>
    <row r="47" spans="2:17" x14ac:dyDescent="0.3">
      <c r="B47" s="301" t="s">
        <v>275</v>
      </c>
      <c r="C47" s="302">
        <f t="shared" ref="C47:I47" si="9">C46/(C54/$F$54)</f>
        <v>19.207474971404313</v>
      </c>
      <c r="D47" s="302">
        <f t="shared" si="9"/>
        <v>35.256926620919394</v>
      </c>
      <c r="E47" s="302">
        <f t="shared" si="9"/>
        <v>29.08342342079121</v>
      </c>
      <c r="F47" s="302">
        <f t="shared" si="9"/>
        <v>33</v>
      </c>
      <c r="G47" s="302">
        <f t="shared" si="9"/>
        <v>27.870205442270322</v>
      </c>
      <c r="H47" s="302">
        <f t="shared" si="9"/>
        <v>24.633218835850727</v>
      </c>
      <c r="I47" s="302">
        <f t="shared" si="9"/>
        <v>27.771652038909735</v>
      </c>
      <c r="J47" s="294">
        <f t="shared" ref="J47:P48" si="10">AVERAGE($C47:$F47)</f>
        <v>29.136956253278729</v>
      </c>
      <c r="K47" s="294">
        <f t="shared" si="10"/>
        <v>29.136956253278729</v>
      </c>
      <c r="L47" s="294">
        <f t="shared" si="10"/>
        <v>29.136956253278729</v>
      </c>
      <c r="M47" s="294">
        <f t="shared" si="10"/>
        <v>29.136956253278729</v>
      </c>
      <c r="N47" s="294">
        <f t="shared" si="10"/>
        <v>29.136956253278729</v>
      </c>
      <c r="O47" s="294">
        <f t="shared" si="10"/>
        <v>29.136956253278729</v>
      </c>
      <c r="P47" s="294">
        <f t="shared" si="10"/>
        <v>29.136956253278729</v>
      </c>
      <c r="Q47" s="303"/>
    </row>
    <row r="48" spans="2:17" x14ac:dyDescent="0.3">
      <c r="B48" s="301" t="s">
        <v>276</v>
      </c>
      <c r="C48" s="302">
        <f t="shared" ref="C48:I48" si="11">C46/(C54/$D$54)</f>
        <v>10.895717132648608</v>
      </c>
      <c r="D48" s="302">
        <f t="shared" si="11"/>
        <v>20</v>
      </c>
      <c r="E48" s="302">
        <f t="shared" si="11"/>
        <v>16.497991293168937</v>
      </c>
      <c r="F48" s="302">
        <f t="shared" si="11"/>
        <v>18.719725831360318</v>
      </c>
      <c r="G48" s="302">
        <f t="shared" si="11"/>
        <v>15.809775901302626</v>
      </c>
      <c r="H48" s="302">
        <f t="shared" si="11"/>
        <v>13.973548574273527</v>
      </c>
      <c r="I48" s="302">
        <f t="shared" si="11"/>
        <v>15.753870062191785</v>
      </c>
      <c r="J48" s="294">
        <f t="shared" si="10"/>
        <v>16.528358564294464</v>
      </c>
      <c r="K48" s="294">
        <f t="shared" si="10"/>
        <v>16.528358564294464</v>
      </c>
      <c r="L48" s="294">
        <f t="shared" si="10"/>
        <v>16.528358564294464</v>
      </c>
      <c r="M48" s="294">
        <f t="shared" si="10"/>
        <v>16.528358564294464</v>
      </c>
      <c r="N48" s="294">
        <f t="shared" si="10"/>
        <v>16.528358564294464</v>
      </c>
      <c r="O48" s="294">
        <f t="shared" si="10"/>
        <v>16.528358564294464</v>
      </c>
      <c r="P48" s="294">
        <f t="shared" si="10"/>
        <v>16.528358564294464</v>
      </c>
      <c r="Q48" s="16"/>
    </row>
    <row r="49" spans="1:17" x14ac:dyDescent="0.3">
      <c r="Q49" s="16"/>
    </row>
    <row r="50" spans="1:17" ht="18" x14ac:dyDescent="0.35">
      <c r="A50" s="95"/>
      <c r="B50" s="182" t="s">
        <v>277</v>
      </c>
      <c r="C50" s="12"/>
      <c r="D50" s="12"/>
      <c r="E50" s="12"/>
      <c r="F50" s="12"/>
      <c r="G50" s="12"/>
      <c r="H50" s="12"/>
      <c r="I50" s="12"/>
      <c r="J50" s="12"/>
      <c r="K50" s="12"/>
      <c r="L50" s="12"/>
      <c r="M50" s="12"/>
      <c r="N50" s="12"/>
      <c r="O50" s="12"/>
      <c r="P50" s="12"/>
      <c r="Q50" s="17"/>
    </row>
    <row r="51" spans="1:17" x14ac:dyDescent="0.3">
      <c r="C51" s="186"/>
      <c r="D51" s="131"/>
      <c r="E51" s="296"/>
      <c r="F51" s="296"/>
      <c r="G51" s="296"/>
      <c r="H51" s="296"/>
      <c r="I51" s="296"/>
      <c r="J51" s="296"/>
      <c r="K51" s="296"/>
      <c r="L51" s="296"/>
      <c r="M51" s="296"/>
      <c r="N51" s="296"/>
      <c r="O51" s="296"/>
      <c r="Q51" s="16"/>
    </row>
    <row r="52" spans="1:17" x14ac:dyDescent="0.3">
      <c r="B52" s="139" t="s">
        <v>278</v>
      </c>
      <c r="Q52" s="16"/>
    </row>
    <row r="53" spans="1:17" x14ac:dyDescent="0.3">
      <c r="B53" s="161" t="s">
        <v>141</v>
      </c>
      <c r="C53" s="164">
        <v>2020</v>
      </c>
      <c r="D53" s="164">
        <v>2021</v>
      </c>
      <c r="E53" s="164">
        <v>2022</v>
      </c>
      <c r="F53" s="164">
        <v>2023</v>
      </c>
      <c r="G53" s="164">
        <v>2024</v>
      </c>
      <c r="H53" s="164">
        <v>2025</v>
      </c>
      <c r="I53" s="164">
        <v>2026</v>
      </c>
      <c r="J53" s="164">
        <v>2027</v>
      </c>
      <c r="K53" s="128"/>
      <c r="Q53" s="16"/>
    </row>
    <row r="54" spans="1:17" s="13" customFormat="1" ht="18.75" customHeight="1" x14ac:dyDescent="0.3">
      <c r="B54" s="165" t="s">
        <v>279</v>
      </c>
      <c r="C54" s="199">
        <v>169.60599999999999</v>
      </c>
      <c r="D54" s="199">
        <v>205.33099999999999</v>
      </c>
      <c r="E54" s="199">
        <v>273.80799999999999</v>
      </c>
      <c r="F54" s="199">
        <v>361.96699999999998</v>
      </c>
      <c r="G54" s="199">
        <v>451.31900000000002</v>
      </c>
      <c r="H54" s="166">
        <v>558.38199999999995</v>
      </c>
      <c r="I54" s="166">
        <v>664.71799999999996</v>
      </c>
      <c r="J54" s="166">
        <v>751.48199999999997</v>
      </c>
      <c r="K54" s="18"/>
      <c r="P54"/>
      <c r="Q54" s="16"/>
    </row>
    <row r="55" spans="1:17" s="13" customFormat="1" ht="20.25" customHeight="1" x14ac:dyDescent="0.3">
      <c r="B55" s="165" t="s">
        <v>280</v>
      </c>
      <c r="C55" s="328">
        <v>100.003</v>
      </c>
      <c r="D55" s="328">
        <v>102.80500000000001</v>
      </c>
      <c r="E55" s="328">
        <v>109.071</v>
      </c>
      <c r="F55" s="328">
        <v>115.768</v>
      </c>
      <c r="G55" s="328">
        <v>119.355</v>
      </c>
      <c r="H55" s="329">
        <v>122.208</v>
      </c>
      <c r="I55" s="329">
        <v>124.669</v>
      </c>
      <c r="J55" s="329">
        <v>127.31100000000001</v>
      </c>
      <c r="K55"/>
      <c r="P55"/>
      <c r="Q55" s="16"/>
    </row>
    <row r="56" spans="1:17" x14ac:dyDescent="0.3">
      <c r="A56" s="186"/>
      <c r="B56" s="187" t="s">
        <v>281</v>
      </c>
      <c r="C56" s="224"/>
      <c r="D56" s="224"/>
      <c r="Q56" s="16"/>
    </row>
    <row r="57" spans="1:17" x14ac:dyDescent="0.3">
      <c r="B57" s="137"/>
      <c r="C57" s="224"/>
      <c r="D57" s="224"/>
      <c r="Q57" s="16"/>
    </row>
    <row r="58" spans="1:17" ht="18" customHeight="1" x14ac:dyDescent="0.3">
      <c r="B58" s="139" t="s">
        <v>282</v>
      </c>
      <c r="E58" s="224"/>
      <c r="Q58" s="16"/>
    </row>
    <row r="59" spans="1:17" ht="17.25" customHeight="1" x14ac:dyDescent="0.3">
      <c r="B59" s="161" t="s">
        <v>141</v>
      </c>
      <c r="C59" s="162">
        <v>2021</v>
      </c>
      <c r="Q59" s="16"/>
    </row>
    <row r="60" spans="1:17" ht="16.5" customHeight="1" x14ac:dyDescent="0.3">
      <c r="B60" s="220" t="s">
        <v>283</v>
      </c>
      <c r="C60" s="304">
        <v>1.9349999999999999E-2</v>
      </c>
      <c r="E60" s="224"/>
      <c r="F60" s="224"/>
      <c r="G60" s="224"/>
      <c r="J60" s="224"/>
      <c r="K60" s="224"/>
      <c r="L60" s="224"/>
      <c r="Q60" s="16"/>
    </row>
    <row r="61" spans="1:17" x14ac:dyDescent="0.3">
      <c r="A61" s="186"/>
      <c r="B61" s="188" t="s">
        <v>284</v>
      </c>
      <c r="C61" s="224"/>
      <c r="D61" s="132"/>
      <c r="E61" s="224"/>
      <c r="F61" s="224"/>
      <c r="G61" s="224"/>
      <c r="J61" s="224"/>
      <c r="K61" s="224"/>
      <c r="L61" s="224"/>
      <c r="Q61" s="16"/>
    </row>
    <row r="62" spans="1:17" x14ac:dyDescent="0.3">
      <c r="B62" s="138"/>
      <c r="C62" s="224"/>
      <c r="D62" s="132"/>
      <c r="E62" s="224"/>
      <c r="F62" s="224"/>
      <c r="G62" s="224"/>
      <c r="J62" s="224"/>
      <c r="K62" s="224"/>
      <c r="L62" s="224"/>
      <c r="Q62" s="16"/>
    </row>
    <row r="63" spans="1:17" x14ac:dyDescent="0.3">
      <c r="A63" s="67"/>
      <c r="B63" s="305" t="s">
        <v>72</v>
      </c>
      <c r="C63" s="67"/>
      <c r="D63" s="67"/>
      <c r="E63" s="67"/>
      <c r="F63" s="67"/>
      <c r="G63" s="67"/>
      <c r="H63" s="67"/>
      <c r="I63" s="67"/>
      <c r="J63" s="67"/>
      <c r="K63" s="67"/>
      <c r="L63" s="67"/>
      <c r="M63" s="67"/>
      <c r="N63" s="67"/>
      <c r="O63" s="67"/>
      <c r="P63" s="67"/>
      <c r="Q63" s="68"/>
    </row>
  </sheetData>
  <mergeCells count="3">
    <mergeCell ref="E5:J5"/>
    <mergeCell ref="E4:J4"/>
    <mergeCell ref="E3:J3"/>
  </mergeCells>
  <conditionalFormatting sqref="B10:C10">
    <cfRule type="cellIs" dxfId="20" priority="1" operator="lessThan">
      <formula>0</formula>
    </cfRule>
  </conditionalFormatting>
  <conditionalFormatting sqref="B15:C15">
    <cfRule type="cellIs" dxfId="19" priority="2" operator="lessThan">
      <formula>0</formula>
    </cfRule>
  </conditionalFormatting>
  <hyperlinks>
    <hyperlink ref="B37" r:id="rId1" display="https://juniperpublishers.com/artoaj/ARTOAJ.MS.ID.556169.php" xr:uid="{B5B8D7F6-D528-4349-B667-EF37C0CDDB1C}"/>
    <hyperlink ref="B56" r:id="rId2" xr:uid="{A72E1E17-246F-472D-9872-9CA67A38A917}"/>
    <hyperlink ref="B61" r:id="rId3" xr:uid="{5C27A537-E243-411C-B9F8-5A6A97D57647}"/>
    <hyperlink ref="B12" r:id="rId4" xr:uid="{6F9DA305-90D2-4E3B-8A60-1D5477CDFD04}"/>
    <hyperlink ref="B19" r:id="rId5" display="Expert model" xr:uid="{02A4B47A-A6F0-4847-AB32-066FC8D905A7}"/>
    <hyperlink ref="B31" r:id="rId6" xr:uid="{23D7A05F-6927-4A68-A8BF-4CFFD54B689E}"/>
  </hyperlinks>
  <pageMargins left="0.7" right="0.7" top="0.75" bottom="0.75" header="0.3" footer="0.3"/>
  <pageSetup paperSize="9" orientation="portrait" horizontalDpi="1200" verticalDpi="1200" r:id="rId7"/>
  <legacy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AE64-E7BA-4BC7-8063-056CA3FE865E}">
  <dimension ref="A1:AA238"/>
  <sheetViews>
    <sheetView showGridLines="0" zoomScale="70" zoomScaleNormal="70" workbookViewId="0">
      <selection activeCell="M27" sqref="M27"/>
    </sheetView>
  </sheetViews>
  <sheetFormatPr defaultColWidth="11.44140625" defaultRowHeight="14.4" x14ac:dyDescent="0.3"/>
  <cols>
    <col min="1" max="1" width="5" customWidth="1"/>
    <col min="2" max="2" width="56.44140625" customWidth="1"/>
    <col min="3" max="3" width="58.88671875" customWidth="1"/>
    <col min="4" max="8" width="11.44140625" customWidth="1"/>
    <col min="9" max="9" width="12.33203125" customWidth="1"/>
    <col min="10" max="10" width="12.44140625" customWidth="1"/>
    <col min="11" max="11" width="12.33203125" customWidth="1"/>
    <col min="12" max="12" width="12.5546875" customWidth="1"/>
    <col min="13" max="13" width="12.44140625" customWidth="1"/>
    <col min="14" max="14" width="12.6640625" customWidth="1"/>
    <col min="15" max="17" width="11.44140625" customWidth="1"/>
  </cols>
  <sheetData>
    <row r="1" spans="1:27" ht="18" x14ac:dyDescent="0.35">
      <c r="A1" s="95"/>
      <c r="B1" s="155" t="s">
        <v>73</v>
      </c>
      <c r="C1" s="94"/>
      <c r="D1" s="95"/>
      <c r="E1" s="96"/>
      <c r="F1" s="12"/>
      <c r="G1" s="12"/>
      <c r="H1" s="12"/>
      <c r="I1" s="12"/>
      <c r="J1" s="12"/>
      <c r="K1" s="12"/>
      <c r="L1" s="12"/>
      <c r="M1" s="12"/>
      <c r="N1" s="12"/>
      <c r="O1" s="12"/>
      <c r="P1" s="12"/>
      <c r="Q1" s="12"/>
      <c r="R1" s="12"/>
      <c r="S1" s="12"/>
      <c r="T1" s="12"/>
      <c r="U1" s="12"/>
      <c r="V1" s="12"/>
      <c r="W1" s="12"/>
      <c r="X1" s="12"/>
      <c r="Y1" s="12"/>
      <c r="Z1" s="12"/>
      <c r="AA1" s="17"/>
    </row>
    <row r="2" spans="1:27" ht="15" thickBot="1" x14ac:dyDescent="0.35">
      <c r="H2" s="186"/>
      <c r="I2" s="186"/>
      <c r="J2" s="186"/>
      <c r="K2" s="186"/>
      <c r="L2" s="186"/>
      <c r="M2" s="186"/>
      <c r="O2" s="186"/>
      <c r="AA2" s="16"/>
    </row>
    <row r="3" spans="1:27" ht="18.600000000000001" thickBot="1" x14ac:dyDescent="0.4">
      <c r="B3" s="159" t="s">
        <v>74</v>
      </c>
      <c r="C3" s="306">
        <v>0.1</v>
      </c>
      <c r="D3" s="74"/>
      <c r="E3" s="75"/>
      <c r="F3" s="19"/>
      <c r="G3" s="19"/>
      <c r="H3" s="19"/>
      <c r="I3" s="19"/>
      <c r="J3" s="19"/>
      <c r="K3" s="19"/>
      <c r="L3" s="19"/>
      <c r="M3" s="19"/>
      <c r="N3" s="19"/>
      <c r="O3" s="19"/>
      <c r="P3" s="19"/>
      <c r="Q3" s="19"/>
      <c r="R3" s="19"/>
      <c r="S3" s="19"/>
      <c r="T3" s="19"/>
      <c r="U3" s="19"/>
      <c r="V3" s="19"/>
      <c r="AA3" s="16"/>
    </row>
    <row r="4" spans="1:27" ht="18.600000000000001" thickBot="1" x14ac:dyDescent="0.4">
      <c r="B4" s="98"/>
      <c r="C4" s="133"/>
      <c r="D4" s="74"/>
      <c r="E4" s="75"/>
      <c r="F4" s="19"/>
      <c r="G4" s="19"/>
      <c r="H4" s="19"/>
      <c r="I4" s="19"/>
      <c r="J4" s="19"/>
      <c r="K4" s="19"/>
      <c r="L4" s="19"/>
      <c r="M4" s="19"/>
      <c r="N4" s="19"/>
      <c r="O4" s="19"/>
      <c r="P4" s="19"/>
      <c r="Q4" s="19"/>
      <c r="R4" s="19"/>
      <c r="S4" s="19"/>
      <c r="T4" s="19"/>
      <c r="U4" s="19"/>
      <c r="V4" s="19"/>
      <c r="AA4" s="16"/>
    </row>
    <row r="5" spans="1:27" ht="18.600000000000001" thickBot="1" x14ac:dyDescent="0.4">
      <c r="B5" s="159" t="s">
        <v>75</v>
      </c>
      <c r="C5" s="307">
        <v>0.2</v>
      </c>
      <c r="D5" s="97">
        <f>1+C5</f>
        <v>1.2</v>
      </c>
      <c r="E5" s="75"/>
      <c r="F5" s="19"/>
      <c r="G5" s="19"/>
      <c r="H5" s="19"/>
      <c r="I5" s="19"/>
      <c r="J5" s="19"/>
      <c r="K5" s="19"/>
      <c r="L5" s="19"/>
      <c r="M5" s="19"/>
      <c r="N5" s="19"/>
      <c r="O5" s="19"/>
      <c r="P5" s="19"/>
      <c r="Q5" s="19"/>
      <c r="R5" s="19"/>
      <c r="S5" s="19"/>
      <c r="T5" s="19"/>
      <c r="U5" s="19"/>
      <c r="V5" s="19"/>
      <c r="AA5" s="16"/>
    </row>
    <row r="6" spans="1:27" ht="18.600000000000001" thickBot="1" x14ac:dyDescent="0.4">
      <c r="C6" s="134"/>
      <c r="H6" s="186"/>
      <c r="I6" s="186"/>
      <c r="J6" s="186"/>
      <c r="K6" s="186"/>
      <c r="L6" s="186"/>
      <c r="M6" s="186"/>
      <c r="O6" s="19"/>
      <c r="P6" s="19"/>
      <c r="Q6" s="19"/>
      <c r="R6" s="19"/>
      <c r="S6" s="19"/>
      <c r="T6" s="19"/>
      <c r="U6" s="19"/>
      <c r="V6" s="19"/>
      <c r="AA6" s="16"/>
    </row>
    <row r="7" spans="1:27" ht="18.600000000000001" thickBot="1" x14ac:dyDescent="0.4">
      <c r="B7" s="159" t="s">
        <v>76</v>
      </c>
      <c r="C7" s="308">
        <v>0</v>
      </c>
      <c r="H7" s="186"/>
      <c r="I7" s="186"/>
      <c r="J7" s="186"/>
      <c r="K7" s="186"/>
      <c r="L7" s="186"/>
      <c r="M7" s="186"/>
      <c r="O7" s="19"/>
      <c r="P7" s="19"/>
      <c r="Q7" s="19"/>
      <c r="R7" s="19"/>
      <c r="S7" s="19"/>
      <c r="T7" s="19"/>
      <c r="U7" s="19"/>
      <c r="V7" s="19"/>
      <c r="AA7" s="16"/>
    </row>
    <row r="8" spans="1:27" ht="18.600000000000001" thickBot="1" x14ac:dyDescent="0.4">
      <c r="B8" s="156"/>
      <c r="C8" s="135"/>
      <c r="H8" s="186"/>
      <c r="I8" s="186"/>
      <c r="J8" s="186"/>
      <c r="K8" s="186"/>
      <c r="L8" s="186"/>
      <c r="M8" s="186"/>
      <c r="O8" s="19"/>
      <c r="P8" s="19"/>
      <c r="Q8" s="19"/>
      <c r="R8" s="19"/>
      <c r="S8" s="19"/>
      <c r="T8" s="19"/>
      <c r="U8" s="19"/>
      <c r="V8" s="19"/>
      <c r="AA8" s="16"/>
    </row>
    <row r="9" spans="1:27" ht="18.600000000000001" thickBot="1" x14ac:dyDescent="0.4">
      <c r="B9" s="191" t="s">
        <v>77</v>
      </c>
      <c r="C9" s="308">
        <v>1</v>
      </c>
      <c r="H9" s="186"/>
      <c r="I9" s="186"/>
      <c r="J9" s="186"/>
      <c r="K9" s="186"/>
      <c r="L9" s="186"/>
      <c r="M9" s="186"/>
      <c r="O9" s="19"/>
      <c r="P9" s="19"/>
      <c r="Q9" s="19"/>
      <c r="R9" s="19"/>
      <c r="S9" s="19"/>
      <c r="T9" s="19"/>
      <c r="U9" s="19"/>
      <c r="V9" s="19"/>
      <c r="AA9" s="16"/>
    </row>
    <row r="10" spans="1:27" ht="18.600000000000001" thickBot="1" x14ac:dyDescent="0.4">
      <c r="C10" s="134"/>
      <c r="H10" s="186"/>
      <c r="I10" s="186"/>
      <c r="J10" s="186"/>
      <c r="K10" s="186"/>
      <c r="L10" s="186"/>
      <c r="M10" s="186"/>
      <c r="O10" s="19"/>
      <c r="P10" s="19"/>
      <c r="Q10" s="19"/>
      <c r="R10" s="19"/>
      <c r="S10" s="19"/>
      <c r="T10" s="19"/>
      <c r="U10" s="19"/>
      <c r="V10" s="19"/>
      <c r="AA10" s="16"/>
    </row>
    <row r="11" spans="1:27" ht="18.600000000000001" thickBot="1" x14ac:dyDescent="0.4">
      <c r="B11" s="191" t="s">
        <v>78</v>
      </c>
      <c r="C11" s="308">
        <v>1</v>
      </c>
      <c r="H11" s="186"/>
      <c r="I11" s="186"/>
      <c r="J11" s="186"/>
      <c r="K11" s="186"/>
      <c r="L11" s="186"/>
      <c r="M11" s="186"/>
      <c r="O11" s="19"/>
      <c r="P11" s="19"/>
      <c r="Q11" s="19"/>
      <c r="R11" s="19"/>
      <c r="S11" s="19"/>
      <c r="T11" s="19"/>
      <c r="U11" s="19"/>
      <c r="V11" s="19"/>
      <c r="AA11" s="16"/>
    </row>
    <row r="12" spans="1:27" ht="18" x14ac:dyDescent="0.35">
      <c r="B12" s="98"/>
      <c r="C12" s="98"/>
      <c r="D12" s="98"/>
      <c r="H12" s="186"/>
      <c r="I12" s="186"/>
      <c r="J12" s="186"/>
      <c r="K12" s="186"/>
      <c r="L12" s="186"/>
      <c r="M12" s="186"/>
      <c r="O12" s="19"/>
      <c r="P12" s="19"/>
      <c r="Q12" s="19"/>
      <c r="R12" s="19"/>
      <c r="S12" s="19"/>
      <c r="T12" s="19"/>
      <c r="U12" s="19"/>
      <c r="V12" s="19"/>
      <c r="AA12" s="16"/>
    </row>
    <row r="13" spans="1:27" ht="23.7" customHeight="1" x14ac:dyDescent="0.35">
      <c r="B13" s="339" t="s">
        <v>79</v>
      </c>
      <c r="C13" s="339"/>
      <c r="D13" s="339"/>
      <c r="E13" s="339"/>
      <c r="AA13" s="16"/>
    </row>
    <row r="14" spans="1:27" ht="15.6" x14ac:dyDescent="0.3">
      <c r="B14" s="146" t="s">
        <v>80</v>
      </c>
      <c r="C14" s="145" t="s">
        <v>81</v>
      </c>
      <c r="D14" s="145" t="s">
        <v>82</v>
      </c>
      <c r="E14" s="145" t="s">
        <v>83</v>
      </c>
      <c r="F14" s="145" t="s">
        <v>84</v>
      </c>
      <c r="AA14" s="16"/>
    </row>
    <row r="15" spans="1:27" ht="21" customHeight="1" x14ac:dyDescent="0.3">
      <c r="B15" s="217" t="s">
        <v>85</v>
      </c>
      <c r="C15" s="218">
        <v>0.51</v>
      </c>
      <c r="D15" s="219" t="s">
        <v>86</v>
      </c>
      <c r="E15" s="113" t="s">
        <v>87</v>
      </c>
      <c r="F15" s="220" t="s">
        <v>88</v>
      </c>
      <c r="AA15" s="16"/>
    </row>
    <row r="16" spans="1:27" ht="18" customHeight="1" x14ac:dyDescent="0.3">
      <c r="B16" s="217" t="s">
        <v>89</v>
      </c>
      <c r="C16" s="221">
        <f>348*5</f>
        <v>1740</v>
      </c>
      <c r="D16" s="11" t="s">
        <v>90</v>
      </c>
      <c r="E16" s="113" t="s">
        <v>87</v>
      </c>
      <c r="F16" s="220" t="s">
        <v>91</v>
      </c>
      <c r="G16" t="s">
        <v>88</v>
      </c>
      <c r="AA16" s="16"/>
    </row>
    <row r="17" spans="2:27" ht="18" customHeight="1" thickBot="1" x14ac:dyDescent="0.35">
      <c r="B17" s="181" t="s">
        <v>92</v>
      </c>
      <c r="C17" s="221">
        <v>2600</v>
      </c>
      <c r="D17" s="124"/>
      <c r="E17" s="113" t="s">
        <v>87</v>
      </c>
      <c r="F17" s="220" t="s">
        <v>93</v>
      </c>
      <c r="G17" t="s">
        <v>88</v>
      </c>
      <c r="AA17" s="16"/>
    </row>
    <row r="18" spans="2:27" ht="15" thickBot="1" x14ac:dyDescent="0.35">
      <c r="B18" s="316" t="s">
        <v>94</v>
      </c>
      <c r="C18" s="319">
        <v>0.1</v>
      </c>
      <c r="D18" s="223"/>
      <c r="E18" s="83"/>
      <c r="F18" s="220"/>
      <c r="M18" s="186"/>
      <c r="AA18" s="16"/>
    </row>
    <row r="19" spans="2:27" x14ac:dyDescent="0.3">
      <c r="B19" s="222" t="s">
        <v>95</v>
      </c>
      <c r="C19" s="318">
        <v>0.05</v>
      </c>
      <c r="D19" s="93"/>
      <c r="E19" s="5"/>
      <c r="F19" s="5"/>
      <c r="AA19" s="16"/>
    </row>
    <row r="20" spans="2:27" x14ac:dyDescent="0.3">
      <c r="N20" s="224"/>
      <c r="O20" s="91"/>
      <c r="AA20" s="16"/>
    </row>
    <row r="21" spans="2:27" ht="21" x14ac:dyDescent="0.4">
      <c r="B21" s="158" t="s">
        <v>96</v>
      </c>
      <c r="C21" s="6"/>
      <c r="D21" s="6"/>
      <c r="E21" s="6"/>
      <c r="F21" s="186"/>
      <c r="AA21" s="16"/>
    </row>
    <row r="22" spans="2:27" ht="15.6" x14ac:dyDescent="0.3">
      <c r="B22" s="157" t="s">
        <v>97</v>
      </c>
      <c r="C22" s="145" t="s">
        <v>81</v>
      </c>
      <c r="D22" s="145" t="s">
        <v>82</v>
      </c>
      <c r="E22" s="145" t="s">
        <v>83</v>
      </c>
      <c r="F22" s="145" t="s">
        <v>84</v>
      </c>
      <c r="G22" s="186"/>
      <c r="O22" s="186"/>
      <c r="P22" s="186"/>
      <c r="AA22" s="16"/>
    </row>
    <row r="23" spans="2:27" ht="19.5" customHeight="1" x14ac:dyDescent="0.3">
      <c r="B23" s="217" t="s">
        <v>98</v>
      </c>
      <c r="C23" s="225">
        <v>0.27</v>
      </c>
      <c r="D23" s="219" t="s">
        <v>99</v>
      </c>
      <c r="E23" s="113" t="s">
        <v>87</v>
      </c>
      <c r="F23" s="220"/>
      <c r="G23" s="186"/>
      <c r="AA23" s="16"/>
    </row>
    <row r="24" spans="2:27" ht="15" customHeight="1" x14ac:dyDescent="0.3">
      <c r="B24" s="217" t="s">
        <v>100</v>
      </c>
      <c r="C24" s="226">
        <v>2016</v>
      </c>
      <c r="D24" s="220" t="s">
        <v>101</v>
      </c>
      <c r="E24" s="113" t="s">
        <v>87</v>
      </c>
      <c r="F24" s="220"/>
      <c r="G24" s="186"/>
      <c r="AA24" s="16"/>
    </row>
    <row r="25" spans="2:27" ht="16.5" customHeight="1" thickBot="1" x14ac:dyDescent="0.35">
      <c r="B25" s="220" t="s">
        <v>102</v>
      </c>
      <c r="C25" s="321">
        <f>2.5</f>
        <v>2.5</v>
      </c>
      <c r="D25" s="219" t="s">
        <v>103</v>
      </c>
      <c r="E25" s="220"/>
      <c r="F25" s="227" t="s">
        <v>104</v>
      </c>
      <c r="G25" s="186"/>
      <c r="AA25" s="16"/>
    </row>
    <row r="26" spans="2:27" ht="15" thickBot="1" x14ac:dyDescent="0.35">
      <c r="B26" s="320" t="s">
        <v>94</v>
      </c>
      <c r="C26" s="317">
        <v>0.1</v>
      </c>
      <c r="D26" s="237" t="s">
        <v>103</v>
      </c>
      <c r="E26" s="220"/>
      <c r="F26" s="220"/>
      <c r="G26" s="186"/>
      <c r="AA26" s="16"/>
    </row>
    <row r="27" spans="2:27" x14ac:dyDescent="0.3">
      <c r="B27" s="217" t="s">
        <v>95</v>
      </c>
      <c r="C27" s="322">
        <v>0.03</v>
      </c>
      <c r="D27" s="229" t="s">
        <v>103</v>
      </c>
      <c r="E27" s="220"/>
      <c r="F27" s="220"/>
      <c r="G27" s="186"/>
      <c r="AA27" s="16"/>
    </row>
    <row r="28" spans="2:27" x14ac:dyDescent="0.3">
      <c r="B28" s="230"/>
      <c r="C28" s="231"/>
      <c r="D28" s="224"/>
      <c r="E28" s="186"/>
      <c r="F28" s="186"/>
      <c r="G28" s="186"/>
      <c r="AA28" s="16"/>
    </row>
    <row r="29" spans="2:27" ht="18" x14ac:dyDescent="0.35">
      <c r="B29" s="339" t="s">
        <v>105</v>
      </c>
      <c r="C29" s="339"/>
      <c r="D29" s="339"/>
      <c r="E29" s="339"/>
      <c r="G29" s="186"/>
      <c r="AA29" s="16"/>
    </row>
    <row r="30" spans="2:27" ht="15.6" x14ac:dyDescent="0.3">
      <c r="B30" s="146" t="s">
        <v>80</v>
      </c>
      <c r="C30" s="157" t="s">
        <v>81</v>
      </c>
      <c r="D30" s="145" t="s">
        <v>82</v>
      </c>
      <c r="E30" s="145" t="s">
        <v>83</v>
      </c>
      <c r="F30" s="145" t="s">
        <v>84</v>
      </c>
      <c r="G30" s="186"/>
      <c r="AA30" s="16"/>
    </row>
    <row r="31" spans="2:27" ht="17.25" customHeight="1" x14ac:dyDescent="0.3">
      <c r="B31" s="219" t="s">
        <v>106</v>
      </c>
      <c r="C31" s="232">
        <v>0.85</v>
      </c>
      <c r="D31" s="233" t="s">
        <v>107</v>
      </c>
      <c r="E31" s="113" t="s">
        <v>108</v>
      </c>
      <c r="F31" s="220" t="s">
        <v>109</v>
      </c>
      <c r="G31" s="186" t="s">
        <v>88</v>
      </c>
      <c r="AA31" s="16"/>
    </row>
    <row r="32" spans="2:27" ht="17.25" customHeight="1" x14ac:dyDescent="0.3">
      <c r="B32" s="233" t="s">
        <v>110</v>
      </c>
      <c r="C32" s="234">
        <v>7.5</v>
      </c>
      <c r="D32" s="233" t="s">
        <v>111</v>
      </c>
      <c r="E32" s="233"/>
      <c r="F32" s="88" t="s">
        <v>112</v>
      </c>
      <c r="G32" s="186" t="s">
        <v>88</v>
      </c>
      <c r="AA32" s="16"/>
    </row>
    <row r="33" spans="2:27" ht="17.25" customHeight="1" thickBot="1" x14ac:dyDescent="0.35">
      <c r="B33" s="233" t="s">
        <v>113</v>
      </c>
      <c r="C33" s="235">
        <v>3636</v>
      </c>
      <c r="D33" s="233" t="s">
        <v>114</v>
      </c>
      <c r="E33" s="113" t="s">
        <v>87</v>
      </c>
      <c r="F33" s="233" t="s">
        <v>115</v>
      </c>
      <c r="G33" s="186" t="s">
        <v>88</v>
      </c>
      <c r="AA33" s="16"/>
    </row>
    <row r="34" spans="2:27" ht="20.25" customHeight="1" thickBot="1" x14ac:dyDescent="0.35">
      <c r="B34" s="233" t="s">
        <v>116</v>
      </c>
      <c r="C34" s="236">
        <v>0.5</v>
      </c>
      <c r="D34" s="237" t="s">
        <v>117</v>
      </c>
      <c r="E34" s="233"/>
      <c r="F34" s="220" t="s">
        <v>118</v>
      </c>
      <c r="G34" s="186" t="s">
        <v>88</v>
      </c>
      <c r="AA34" s="16"/>
    </row>
    <row r="35" spans="2:27" ht="21.75" customHeight="1" x14ac:dyDescent="0.3">
      <c r="B35" s="238"/>
      <c r="C35" s="231"/>
      <c r="D35" s="239"/>
      <c r="E35" s="238"/>
      <c r="F35" s="99"/>
      <c r="G35" s="186"/>
      <c r="AA35" s="16"/>
    </row>
    <row r="36" spans="2:27" ht="21.75" customHeight="1" x14ac:dyDescent="0.35">
      <c r="B36" s="158" t="s">
        <v>68</v>
      </c>
      <c r="C36" s="143"/>
      <c r="D36" s="143"/>
      <c r="E36" s="143"/>
      <c r="F36" s="143"/>
      <c r="G36" s="186"/>
      <c r="AA36" s="16"/>
    </row>
    <row r="37" spans="2:27" ht="21.75" customHeight="1" x14ac:dyDescent="0.3">
      <c r="B37" s="146" t="s">
        <v>80</v>
      </c>
      <c r="C37" s="157" t="s">
        <v>81</v>
      </c>
      <c r="D37" s="146" t="s">
        <v>82</v>
      </c>
      <c r="E37" s="146" t="s">
        <v>83</v>
      </c>
      <c r="F37" s="146" t="s">
        <v>84</v>
      </c>
      <c r="G37" s="186"/>
      <c r="AA37" s="16"/>
    </row>
    <row r="38" spans="2:27" ht="21.75" customHeight="1" x14ac:dyDescent="0.3">
      <c r="B38" s="233" t="s">
        <v>119</v>
      </c>
      <c r="C38" s="240">
        <f>40</f>
        <v>40</v>
      </c>
      <c r="D38" s="241" t="s">
        <v>120</v>
      </c>
      <c r="E38" s="220" t="s">
        <v>88</v>
      </c>
      <c r="F38" s="220"/>
      <c r="G38" s="186"/>
      <c r="AA38" s="16"/>
    </row>
    <row r="39" spans="2:27" ht="21.75" customHeight="1" x14ac:dyDescent="0.3">
      <c r="B39" s="228" t="s">
        <v>121</v>
      </c>
      <c r="C39" s="240">
        <f>2880</f>
        <v>2880</v>
      </c>
      <c r="D39" s="229" t="s">
        <v>122</v>
      </c>
      <c r="E39" s="242" t="s">
        <v>88</v>
      </c>
      <c r="F39" s="242"/>
      <c r="G39" s="186"/>
      <c r="AA39" s="16"/>
    </row>
    <row r="40" spans="2:27" ht="21.75" customHeight="1" x14ac:dyDescent="0.3">
      <c r="B40" s="228" t="s">
        <v>123</v>
      </c>
      <c r="C40" s="243">
        <v>0.1</v>
      </c>
      <c r="D40" s="229" t="s">
        <v>122</v>
      </c>
      <c r="E40" s="242"/>
      <c r="F40" s="242"/>
      <c r="G40" s="186"/>
      <c r="AA40" s="16"/>
    </row>
    <row r="41" spans="2:27" ht="21.75" customHeight="1" x14ac:dyDescent="0.3">
      <c r="B41" s="228" t="s">
        <v>124</v>
      </c>
      <c r="C41" s="244">
        <v>6</v>
      </c>
      <c r="D41" s="229" t="s">
        <v>103</v>
      </c>
      <c r="E41" s="242"/>
      <c r="F41" s="242"/>
      <c r="G41" s="186"/>
      <c r="AA41" s="16"/>
    </row>
    <row r="42" spans="2:27" ht="21.75" customHeight="1" x14ac:dyDescent="0.3">
      <c r="B42" s="228" t="s">
        <v>125</v>
      </c>
      <c r="C42" s="245">
        <v>0.02</v>
      </c>
      <c r="D42" s="229" t="s">
        <v>117</v>
      </c>
      <c r="E42" s="242"/>
      <c r="F42" s="242"/>
      <c r="G42" s="186"/>
      <c r="AA42" s="16"/>
    </row>
    <row r="43" spans="2:27" ht="21.75" customHeight="1" thickBot="1" x14ac:dyDescent="0.35">
      <c r="B43" s="228" t="s">
        <v>126</v>
      </c>
      <c r="C43" s="246">
        <v>0.95</v>
      </c>
      <c r="D43" s="229" t="s">
        <v>103</v>
      </c>
      <c r="E43" s="7"/>
      <c r="F43" s="7"/>
      <c r="G43" s="186"/>
      <c r="AA43" s="16"/>
    </row>
    <row r="44" spans="2:27" ht="21.75" customHeight="1" thickBot="1" x14ac:dyDescent="0.35">
      <c r="B44" s="228" t="s">
        <v>127</v>
      </c>
      <c r="C44" s="236">
        <v>0.95</v>
      </c>
      <c r="D44" s="237" t="s">
        <v>103</v>
      </c>
      <c r="E44" s="7"/>
      <c r="F44" s="7"/>
      <c r="G44" s="186"/>
      <c r="AA44" s="16"/>
    </row>
    <row r="45" spans="2:27" ht="21.75" customHeight="1" x14ac:dyDescent="0.3">
      <c r="B45" s="247" t="s">
        <v>128</v>
      </c>
      <c r="C45" s="248">
        <v>0.35</v>
      </c>
      <c r="D45" s="229" t="s">
        <v>103</v>
      </c>
      <c r="E45" s="242"/>
      <c r="F45" s="242"/>
      <c r="G45" s="186"/>
      <c r="AA45" s="16"/>
    </row>
    <row r="46" spans="2:27" ht="21.75" customHeight="1" x14ac:dyDescent="0.3">
      <c r="B46" s="208"/>
      <c r="C46" s="208"/>
      <c r="D46" s="208"/>
      <c r="E46" s="208" t="s">
        <v>88</v>
      </c>
      <c r="F46" s="208"/>
      <c r="G46" s="186"/>
      <c r="AA46" s="16"/>
    </row>
    <row r="47" spans="2:27" ht="21.75" customHeight="1" x14ac:dyDescent="0.35">
      <c r="B47" s="339" t="s">
        <v>129</v>
      </c>
      <c r="C47" s="339"/>
      <c r="D47" s="339"/>
      <c r="E47" s="339"/>
      <c r="F47" s="144"/>
      <c r="G47" s="186"/>
      <c r="AA47" s="16"/>
    </row>
    <row r="48" spans="2:27" ht="21.75" customHeight="1" x14ac:dyDescent="0.3">
      <c r="B48" s="146" t="s">
        <v>80</v>
      </c>
      <c r="C48" s="145" t="s">
        <v>81</v>
      </c>
      <c r="D48" s="145" t="s">
        <v>82</v>
      </c>
      <c r="E48" s="145" t="s">
        <v>83</v>
      </c>
      <c r="F48" s="145" t="s">
        <v>84</v>
      </c>
      <c r="AA48" s="16"/>
    </row>
    <row r="49" spans="1:27" ht="18.75" customHeight="1" x14ac:dyDescent="0.3">
      <c r="B49" s="181" t="s">
        <v>130</v>
      </c>
      <c r="C49" s="192">
        <f xml:space="preserve"> 74.26 *365*5</f>
        <v>135524.5</v>
      </c>
      <c r="D49" s="219" t="s">
        <v>131</v>
      </c>
      <c r="E49" s="113" t="s">
        <v>87</v>
      </c>
      <c r="F49" s="136" t="s">
        <v>132</v>
      </c>
      <c r="G49" t="s">
        <v>88</v>
      </c>
      <c r="AA49" s="16"/>
    </row>
    <row r="50" spans="1:27" ht="18" customHeight="1" x14ac:dyDescent="0.3">
      <c r="B50" s="181" t="s">
        <v>133</v>
      </c>
      <c r="C50" s="192">
        <f>9968*5</f>
        <v>49840</v>
      </c>
      <c r="D50" s="219" t="s">
        <v>134</v>
      </c>
      <c r="E50" s="113" t="s">
        <v>87</v>
      </c>
      <c r="F50" s="114"/>
      <c r="G50" s="186"/>
      <c r="AA50" s="16"/>
    </row>
    <row r="51" spans="1:27" ht="15" customHeight="1" x14ac:dyDescent="0.3">
      <c r="AA51" s="16"/>
    </row>
    <row r="52" spans="1:27" ht="18" x14ac:dyDescent="0.35">
      <c r="A52" s="95"/>
      <c r="B52" s="155" t="s">
        <v>135</v>
      </c>
      <c r="C52" s="94"/>
      <c r="D52" s="95"/>
      <c r="E52" s="96"/>
      <c r="F52" s="12"/>
      <c r="G52" s="12"/>
      <c r="H52" s="12"/>
      <c r="I52" s="12"/>
      <c r="J52" s="12"/>
      <c r="K52" s="12"/>
      <c r="L52" s="12"/>
      <c r="M52" s="12"/>
      <c r="N52" s="12"/>
      <c r="O52" s="12"/>
      <c r="P52" s="12"/>
      <c r="Q52" s="12"/>
      <c r="R52" s="12"/>
      <c r="S52" s="12"/>
      <c r="T52" s="12"/>
      <c r="U52" s="12"/>
      <c r="V52" s="12"/>
      <c r="W52" s="12"/>
      <c r="X52" s="12"/>
      <c r="Y52" s="12"/>
      <c r="Z52" s="12"/>
      <c r="AA52" s="17"/>
    </row>
    <row r="53" spans="1:27" ht="21" x14ac:dyDescent="0.4">
      <c r="B53" s="100"/>
      <c r="C53" s="186"/>
      <c r="D53" s="186"/>
      <c r="F53" s="92"/>
      <c r="AA53" s="16"/>
    </row>
    <row r="54" spans="1:27" ht="16.2" thickBot="1" x14ac:dyDescent="0.35">
      <c r="B54" s="3"/>
      <c r="C54" s="157" t="s">
        <v>136</v>
      </c>
      <c r="D54" s="145" t="s">
        <v>137</v>
      </c>
      <c r="F54" s="92"/>
      <c r="AA54" s="16"/>
    </row>
    <row r="55" spans="1:27" ht="18.75" customHeight="1" thickBot="1" x14ac:dyDescent="0.35">
      <c r="B55" s="233" t="s">
        <v>138</v>
      </c>
      <c r="C55" s="250">
        <v>34000</v>
      </c>
      <c r="D55" s="249"/>
      <c r="G55" s="186"/>
      <c r="AA55" s="16"/>
    </row>
    <row r="56" spans="1:27" ht="18.75" customHeight="1" x14ac:dyDescent="0.3">
      <c r="B56" s="233" t="s">
        <v>79</v>
      </c>
      <c r="C56" s="252">
        <v>34000</v>
      </c>
      <c r="D56" s="251"/>
      <c r="G56" s="186"/>
      <c r="AA56" s="16"/>
    </row>
    <row r="57" spans="1:27" ht="19.5" customHeight="1" x14ac:dyDescent="0.3">
      <c r="B57" s="233" t="s">
        <v>96</v>
      </c>
      <c r="C57" s="252">
        <f>0.75*C55</f>
        <v>25500</v>
      </c>
      <c r="D57" s="241"/>
      <c r="G57" s="186"/>
      <c r="AA57" s="16"/>
    </row>
    <row r="58" spans="1:27" ht="19.5" customHeight="1" x14ac:dyDescent="0.3">
      <c r="B58" s="233" t="s">
        <v>139</v>
      </c>
      <c r="C58" s="253">
        <v>8700</v>
      </c>
      <c r="D58" s="241"/>
      <c r="G58" s="186"/>
      <c r="AA58" s="16"/>
    </row>
    <row r="59" spans="1:27" ht="20.25" customHeight="1" x14ac:dyDescent="0.3">
      <c r="B59" s="233" t="s">
        <v>68</v>
      </c>
      <c r="C59" s="253">
        <v>5300</v>
      </c>
      <c r="D59" s="5"/>
      <c r="F59" s="92"/>
      <c r="AA59" s="16"/>
    </row>
    <row r="60" spans="1:27" ht="19.5" customHeight="1" x14ac:dyDescent="0.3">
      <c r="G60" s="186"/>
      <c r="AA60" s="16"/>
    </row>
    <row r="61" spans="1:27" ht="18" x14ac:dyDescent="0.35">
      <c r="A61" s="95"/>
      <c r="B61" s="155" t="s">
        <v>140</v>
      </c>
      <c r="C61" s="94"/>
      <c r="D61" s="95"/>
      <c r="E61" s="96"/>
      <c r="F61" s="12"/>
      <c r="G61" s="12"/>
      <c r="H61" s="12"/>
      <c r="I61" s="12"/>
      <c r="J61" s="12"/>
      <c r="K61" s="12"/>
      <c r="L61" s="12"/>
      <c r="M61" s="12"/>
      <c r="N61" s="12"/>
      <c r="O61" s="12"/>
      <c r="P61" s="12"/>
      <c r="Q61" s="12"/>
      <c r="R61" s="12"/>
      <c r="S61" s="12"/>
      <c r="T61" s="12"/>
      <c r="U61" s="12"/>
      <c r="V61" s="12"/>
      <c r="W61" s="12"/>
      <c r="X61" s="12"/>
      <c r="Y61" s="12"/>
      <c r="Z61" s="12"/>
      <c r="AA61" s="17"/>
    </row>
    <row r="62" spans="1:27" x14ac:dyDescent="0.3">
      <c r="AA62" s="16"/>
    </row>
    <row r="63" spans="1:27" s="1" customFormat="1" ht="21" x14ac:dyDescent="0.4">
      <c r="A63" s="186"/>
      <c r="B63" s="152" t="s">
        <v>141</v>
      </c>
      <c r="C63" s="146"/>
      <c r="D63" s="153">
        <v>2023</v>
      </c>
      <c r="E63" s="153">
        <v>2024</v>
      </c>
      <c r="F63" s="153">
        <v>2025</v>
      </c>
      <c r="G63" s="147">
        <v>2026</v>
      </c>
      <c r="H63" s="153">
        <v>2027</v>
      </c>
      <c r="I63" s="153">
        <v>2028</v>
      </c>
      <c r="J63" s="153">
        <v>2029</v>
      </c>
      <c r="K63" s="153">
        <v>2030</v>
      </c>
      <c r="L63" s="153">
        <v>2031</v>
      </c>
      <c r="M63" s="153">
        <v>2032</v>
      </c>
      <c r="N63" s="153">
        <v>2033</v>
      </c>
      <c r="O63" s="186"/>
      <c r="P63" s="100"/>
      <c r="Q63" s="100"/>
      <c r="R63"/>
      <c r="S63"/>
      <c r="T63"/>
      <c r="U63"/>
      <c r="V63"/>
      <c r="W63"/>
      <c r="X63"/>
      <c r="Y63"/>
      <c r="Z63"/>
      <c r="AA63" s="16"/>
    </row>
    <row r="64" spans="1:27" s="1" customFormat="1" ht="15" thickBot="1" x14ac:dyDescent="0.35">
      <c r="A64" s="186"/>
      <c r="B64" s="340" t="s">
        <v>142</v>
      </c>
      <c r="C64" s="220" t="s">
        <v>143</v>
      </c>
      <c r="D64" s="254" t="s">
        <v>144</v>
      </c>
      <c r="E64" s="255">
        <v>6.25E-2</v>
      </c>
      <c r="F64" s="323">
        <v>0.4</v>
      </c>
      <c r="G64" s="326">
        <v>0.5</v>
      </c>
      <c r="H64" s="324">
        <f>G64</f>
        <v>0.5</v>
      </c>
      <c r="I64" s="254">
        <f>H64-H64*'Model input'!$C$11</f>
        <v>0.46350000000000002</v>
      </c>
      <c r="J64" s="254">
        <f>I64-I64*'Model input'!$C$11</f>
        <v>0.4296645</v>
      </c>
      <c r="K64" s="254">
        <f>J64-J64*'Model input'!$C$11</f>
        <v>0.39829899150000003</v>
      </c>
      <c r="L64" s="254">
        <f>K64-K64*'Model input'!$C$11</f>
        <v>0.36922316512050002</v>
      </c>
      <c r="M64" s="254">
        <f>L64-L64*'Model input'!$C$11</f>
        <v>0.34226987406670351</v>
      </c>
      <c r="N64" s="254">
        <f>M64-M64*'Model input'!$C$11</f>
        <v>0.31728417325983416</v>
      </c>
      <c r="O64" s="186"/>
      <c r="P64" s="2"/>
      <c r="Q64" s="2"/>
      <c r="R64" s="2"/>
      <c r="S64"/>
      <c r="T64"/>
      <c r="U64"/>
      <c r="V64"/>
      <c r="W64"/>
      <c r="X64"/>
      <c r="Y64"/>
      <c r="Z64"/>
      <c r="AA64" s="16"/>
    </row>
    <row r="65" spans="2:27" s="1" customFormat="1" ht="15" thickBot="1" x14ac:dyDescent="0.35">
      <c r="B65" s="340"/>
      <c r="C65" s="220" t="s">
        <v>145</v>
      </c>
      <c r="D65" s="254" t="s">
        <v>144</v>
      </c>
      <c r="E65" s="255">
        <f>1062/$C$55</f>
        <v>3.1235294117647059E-2</v>
      </c>
      <c r="F65" s="323">
        <f>6800/$C$55</f>
        <v>0.2</v>
      </c>
      <c r="G65" s="325">
        <f>8500/$C$55</f>
        <v>0.25</v>
      </c>
      <c r="H65" s="324">
        <f>G65</f>
        <v>0.25</v>
      </c>
      <c r="I65" s="254">
        <f>H65-H65*'Model input'!$C$11</f>
        <v>0.23175000000000001</v>
      </c>
      <c r="J65" s="254">
        <f>I65-I65*'Model input'!$C$11</f>
        <v>0.21483225</v>
      </c>
      <c r="K65" s="254">
        <f>J65-J65*'Model input'!$C$11</f>
        <v>0.19914949575000002</v>
      </c>
      <c r="L65" s="254">
        <f>K65-K65*'Model input'!$C$11</f>
        <v>0.18461158256025001</v>
      </c>
      <c r="M65" s="254">
        <f>L65-L65*'Model input'!$C$11</f>
        <v>0.17113493703335175</v>
      </c>
      <c r="N65" s="254">
        <f>M65-M65*'Model input'!$C$11</f>
        <v>0.15864208662991708</v>
      </c>
      <c r="O65" s="186"/>
      <c r="P65" s="2"/>
      <c r="Q65" s="2"/>
      <c r="R65" s="2"/>
      <c r="S65" s="186"/>
      <c r="T65" s="186"/>
      <c r="U65" s="186"/>
      <c r="V65" s="186"/>
      <c r="W65" s="186"/>
      <c r="X65" s="186"/>
      <c r="Y65" s="186"/>
      <c r="Z65" s="186"/>
      <c r="AA65" s="256"/>
    </row>
    <row r="66" spans="2:27" s="2" customFormat="1" x14ac:dyDescent="0.3">
      <c r="B66" s="340"/>
      <c r="C66" s="227" t="s">
        <v>146</v>
      </c>
      <c r="D66" s="257" t="s">
        <v>144</v>
      </c>
      <c r="E66" s="257">
        <f>(E64*SROI!$C$19*$C$15*$C$16)+(E65*SROI!$C$18*$C$15*$C$16)</f>
        <v>5.5449450000000002</v>
      </c>
      <c r="F66" s="257">
        <f>(F64*SROI!$C$19*$C$15*$C$16)+(F65*SROI!$C$18*$C$15*$C$16)</f>
        <v>35.496000000000009</v>
      </c>
      <c r="G66" s="327">
        <f>(G64*SROI!$C$19*$C$15*$C$16)+(G65*SROI!$C$18*$C$15*$C$16)</f>
        <v>44.370000000000005</v>
      </c>
      <c r="H66" s="257">
        <f>(H64*SROI!$C$19*$C$15*$C$16)+(H65*SROI!$C$18*$C$15*$C$16)</f>
        <v>44.370000000000005</v>
      </c>
      <c r="I66" s="257">
        <f>(I64*SROI!$C$19*$C$15*$C$16)+(I65*SROI!$C$18*$C$15*$C$16)</f>
        <v>41.130990000000004</v>
      </c>
      <c r="J66" s="257">
        <f>(J64*SROI!$C$19*$C$15*$C$16)+(J65*SROI!$C$18*$C$15*$C$16)</f>
        <v>38.128427729999999</v>
      </c>
      <c r="K66" s="257">
        <f>(K64*SROI!$C$19*$C$15*$C$16)+(K65*SROI!$C$18*$C$15*$C$16)</f>
        <v>35.345052505710008</v>
      </c>
      <c r="L66" s="257">
        <f>(L64*SROI!$C$19*$C$15*$C$16)+(L65*SROI!$C$18*$C$15*$C$16)</f>
        <v>32.764863672793169</v>
      </c>
      <c r="M66" s="257">
        <f>(M64*SROI!$C$19*$C$15*$C$16)+(M65*SROI!$C$18*$C$15*$C$16)</f>
        <v>30.373028624679268</v>
      </c>
      <c r="N66" s="257">
        <f>(N64*SROI!$C$19*$C$15*$C$16)+(N65*SROI!$C$18*$C$15*$C$16)</f>
        <v>28.155797535077685</v>
      </c>
      <c r="AA66" s="84"/>
    </row>
    <row r="67" spans="2:27" s="2" customFormat="1" x14ac:dyDescent="0.3">
      <c r="B67" s="340"/>
      <c r="C67" s="220" t="s">
        <v>147</v>
      </c>
      <c r="D67" s="257" t="s">
        <v>144</v>
      </c>
      <c r="E67" s="257">
        <f>E66/'Model input'!$C16</f>
        <v>0.11089890000000001</v>
      </c>
      <c r="F67" s="257">
        <f>F66/'Model input'!$C16</f>
        <v>0.70992000000000022</v>
      </c>
      <c r="G67" s="257">
        <f>G66/'Model input'!$C16</f>
        <v>0.88740000000000008</v>
      </c>
      <c r="H67" s="257">
        <f>H66/'Model input'!$C16</f>
        <v>0.88740000000000008</v>
      </c>
      <c r="I67" s="257">
        <f>I66/'Model input'!$C16</f>
        <v>0.82261980000000012</v>
      </c>
      <c r="J67" s="257">
        <f>J66/'Model input'!$C16</f>
        <v>0.76256855459999995</v>
      </c>
      <c r="K67" s="257">
        <f>K66/'Model input'!$C16</f>
        <v>0.70690105011420012</v>
      </c>
      <c r="L67" s="257">
        <f>L66/'Model input'!$C16</f>
        <v>0.65529727345586342</v>
      </c>
      <c r="M67" s="257">
        <f>M66/'Model input'!$C16</f>
        <v>0.60746057249358532</v>
      </c>
      <c r="N67" s="257">
        <f>N66/'Model input'!$C16</f>
        <v>0.56311595070155374</v>
      </c>
      <c r="AA67" s="84"/>
    </row>
    <row r="68" spans="2:27" s="2" customFormat="1" x14ac:dyDescent="0.3">
      <c r="B68" s="340"/>
      <c r="C68" s="227" t="s">
        <v>148</v>
      </c>
      <c r="D68" s="257" t="s">
        <v>144</v>
      </c>
      <c r="E68" s="258">
        <f>E67*'Model input'!G23</f>
        <v>61.913990557871472</v>
      </c>
      <c r="F68" s="258">
        <f>F67*'Model input'!H23</f>
        <v>396.34279669901258</v>
      </c>
      <c r="G68" s="258">
        <f>G67*'Model input'!I23</f>
        <v>495.4284958737656</v>
      </c>
      <c r="H68" s="258">
        <f>H67*'Model input'!J23</f>
        <v>495.4284958737656</v>
      </c>
      <c r="I68" s="258">
        <f>I67*'Model input'!K23</f>
        <v>459.26221567498078</v>
      </c>
      <c r="J68" s="258">
        <f>J67*'Model input'!L23</f>
        <v>425.73607393070705</v>
      </c>
      <c r="K68" s="258">
        <f>K67*'Model input'!M23</f>
        <v>394.65734053376553</v>
      </c>
      <c r="L68" s="258">
        <f>L67*'Model input'!N23</f>
        <v>365.84735467480061</v>
      </c>
      <c r="M68" s="258">
        <f>M67*'Model input'!O23</f>
        <v>339.14049778354013</v>
      </c>
      <c r="N68" s="258">
        <f>N67*'Model input'!P23</f>
        <v>314.38324144534175</v>
      </c>
      <c r="AA68" s="84"/>
    </row>
    <row r="69" spans="2:27" s="2" customFormat="1" x14ac:dyDescent="0.3">
      <c r="B69" s="340"/>
      <c r="C69" s="227" t="s">
        <v>149</v>
      </c>
      <c r="D69" s="257" t="s">
        <v>144</v>
      </c>
      <c r="E69" s="259">
        <f>E66*'Model input'!G42</f>
        <v>297.95961649433104</v>
      </c>
      <c r="F69" s="259">
        <f>F66*'Model input'!H42</f>
        <v>4026.7533885404623</v>
      </c>
      <c r="G69" s="259">
        <f>G66*'Model input'!I42</f>
        <v>2892.7121463632557</v>
      </c>
      <c r="H69" s="259">
        <f>H66*'Model input'!J42</f>
        <v>2892.7121463632557</v>
      </c>
      <c r="I69" s="259">
        <f>I66*'Model input'!K42</f>
        <v>2681.5441596787382</v>
      </c>
      <c r="J69" s="259">
        <f>J66*'Model input'!L42</f>
        <v>2485.7914360221898</v>
      </c>
      <c r="K69" s="259">
        <f>K66*'Model input'!M42</f>
        <v>2304.3286611925705</v>
      </c>
      <c r="L69" s="259">
        <f>L66*'Model input'!N42</f>
        <v>2136.1126689255125</v>
      </c>
      <c r="M69" s="259">
        <f>M66*'Model input'!O42</f>
        <v>1980.1764440939501</v>
      </c>
      <c r="N69" s="259">
        <f>N66*'Model input'!P42</f>
        <v>1835.6235636750919</v>
      </c>
      <c r="AA69" s="84"/>
    </row>
    <row r="70" spans="2:27" s="2" customFormat="1" x14ac:dyDescent="0.3">
      <c r="B70" s="340"/>
      <c r="C70" s="260" t="s">
        <v>150</v>
      </c>
      <c r="D70" s="261" t="s">
        <v>144</v>
      </c>
      <c r="E70" s="262">
        <f>E69-E68</f>
        <v>236.04562593645957</v>
      </c>
      <c r="F70" s="262">
        <f t="shared" ref="F70:N70" si="0">F69-F68</f>
        <v>3630.4105918414498</v>
      </c>
      <c r="G70" s="262">
        <f t="shared" si="0"/>
        <v>2397.2836504894899</v>
      </c>
      <c r="H70" s="262">
        <f t="shared" si="0"/>
        <v>2397.2836504894899</v>
      </c>
      <c r="I70" s="262">
        <f t="shared" si="0"/>
        <v>2222.2819440037574</v>
      </c>
      <c r="J70" s="262">
        <f t="shared" si="0"/>
        <v>2060.0553620914829</v>
      </c>
      <c r="K70" s="262">
        <f t="shared" si="0"/>
        <v>1909.6713206588049</v>
      </c>
      <c r="L70" s="262">
        <f t="shared" si="0"/>
        <v>1770.265314250712</v>
      </c>
      <c r="M70" s="262">
        <f t="shared" si="0"/>
        <v>1641.0359463104101</v>
      </c>
      <c r="N70" s="262">
        <f t="shared" si="0"/>
        <v>1521.2403222297501</v>
      </c>
      <c r="AA70" s="84"/>
    </row>
    <row r="71" spans="2:27" s="2" customFormat="1" x14ac:dyDescent="0.3">
      <c r="B71" s="340"/>
      <c r="C71" s="263" t="s">
        <v>151</v>
      </c>
      <c r="D71" s="261" t="s">
        <v>144</v>
      </c>
      <c r="E71" s="262">
        <f t="shared" ref="E71:N71" si="1">E70/(1+$C$3)^(E63-2023)</f>
        <v>214.58693266950868</v>
      </c>
      <c r="F71" s="262">
        <f t="shared" si="1"/>
        <v>3000.3393321003714</v>
      </c>
      <c r="G71" s="262">
        <f t="shared" si="1"/>
        <v>1801.114688572118</v>
      </c>
      <c r="H71" s="262">
        <f t="shared" si="1"/>
        <v>1637.3769896110166</v>
      </c>
      <c r="I71" s="262">
        <f t="shared" si="1"/>
        <v>1379.8622448812839</v>
      </c>
      <c r="J71" s="262">
        <f t="shared" si="1"/>
        <v>1162.8475463681364</v>
      </c>
      <c r="K71" s="262">
        <f t="shared" si="1"/>
        <v>979.96334134842027</v>
      </c>
      <c r="L71" s="262">
        <f t="shared" si="1"/>
        <v>825.84183402725967</v>
      </c>
      <c r="M71" s="262">
        <f t="shared" si="1"/>
        <v>695.95943649388153</v>
      </c>
      <c r="N71" s="262">
        <f t="shared" si="1"/>
        <v>586.50399784529827</v>
      </c>
      <c r="AA71" s="84"/>
    </row>
    <row r="72" spans="2:27" s="2" customFormat="1" x14ac:dyDescent="0.3">
      <c r="B72" s="340"/>
      <c r="C72" s="260" t="s">
        <v>152</v>
      </c>
      <c r="D72" s="261" t="s">
        <v>144</v>
      </c>
      <c r="E72" s="262">
        <f>E71/('Model input'!$F$54/'Model input'!$D$54)</f>
        <v>121.72753171411452</v>
      </c>
      <c r="F72" s="262">
        <f>F71/('Model input'!$F$54/'Model input'!$D$54)</f>
        <v>1701.9857484232025</v>
      </c>
      <c r="G72" s="262">
        <f>G71/('Model input'!$F$54/'Model input'!$D$54)</f>
        <v>1021.7082776032113</v>
      </c>
      <c r="H72" s="262">
        <f>H71/('Model input'!$F$54/'Model input'!$D$54)</f>
        <v>928.82570691201033</v>
      </c>
      <c r="I72" s="262">
        <f>I71/('Model input'!$F$54/'Model input'!$D$54)</f>
        <v>782.74675482493956</v>
      </c>
      <c r="J72" s="262">
        <f>J71/('Model input'!$F$54/'Model input'!$D$54)</f>
        <v>659.64203792974445</v>
      </c>
      <c r="K72" s="262">
        <f>K71/('Model input'!$F$54/'Model input'!$D$54)</f>
        <v>555.89833560079364</v>
      </c>
      <c r="L72" s="262">
        <f>L71/('Model input'!$F$54/'Model input'!$D$54)</f>
        <v>468.47068827448703</v>
      </c>
      <c r="M72" s="262">
        <f>M71/('Model input'!$F$54/'Model input'!$D$54)</f>
        <v>394.79302548222682</v>
      </c>
      <c r="N72" s="262">
        <f>N71/('Model input'!$F$54/'Model input'!$D$54)</f>
        <v>332.70284965638564</v>
      </c>
      <c r="P72" s="2" t="s">
        <v>153</v>
      </c>
      <c r="AA72" s="84"/>
    </row>
    <row r="73" spans="2:27" s="2" customFormat="1" ht="15.6" x14ac:dyDescent="0.3">
      <c r="B73" s="340"/>
      <c r="C73" s="168" t="s">
        <v>154</v>
      </c>
      <c r="D73" s="184" t="s">
        <v>144</v>
      </c>
      <c r="E73" s="185">
        <f>E72*'Model input'!$C$60</f>
        <v>2.3554277386681157</v>
      </c>
      <c r="F73" s="185">
        <f>F72*'Model input'!$C$60</f>
        <v>32.933424231988965</v>
      </c>
      <c r="G73" s="185">
        <f>G72*'Model input'!$C$60</f>
        <v>19.770055171622136</v>
      </c>
      <c r="H73" s="185">
        <f>H72*'Model input'!$C$60</f>
        <v>17.972777428747399</v>
      </c>
      <c r="I73" s="185">
        <f>I72*'Model input'!$C$60</f>
        <v>15.14614970586258</v>
      </c>
      <c r="J73" s="185">
        <f>J72*'Model input'!$C$60</f>
        <v>12.764073433940554</v>
      </c>
      <c r="K73" s="185">
        <f>K72*'Model input'!$C$60</f>
        <v>10.756632793875356</v>
      </c>
      <c r="L73" s="185">
        <f>L72*'Model input'!$C$60</f>
        <v>9.0649078181113243</v>
      </c>
      <c r="M73" s="185">
        <f>M72*'Model input'!$C$60</f>
        <v>7.6392450430810888</v>
      </c>
      <c r="N73" s="185">
        <f>N72*'Model input'!$C$60</f>
        <v>6.4378001408510617</v>
      </c>
      <c r="P73" s="4"/>
      <c r="Q73" s="78">
        <v>2023</v>
      </c>
      <c r="R73" s="78">
        <v>2024</v>
      </c>
      <c r="S73" s="78">
        <v>2025</v>
      </c>
      <c r="T73" s="78">
        <v>2026</v>
      </c>
      <c r="U73" s="78">
        <v>2027</v>
      </c>
      <c r="V73" s="78">
        <v>2028</v>
      </c>
      <c r="W73" s="78">
        <v>2029</v>
      </c>
      <c r="X73" s="78">
        <v>2030</v>
      </c>
      <c r="Y73" s="78">
        <v>2031</v>
      </c>
      <c r="Z73" s="78">
        <v>2032</v>
      </c>
      <c r="AA73" s="78">
        <v>2033</v>
      </c>
    </row>
    <row r="74" spans="2:27" s="2" customFormat="1" x14ac:dyDescent="0.3">
      <c r="B74" s="340" t="s">
        <v>155</v>
      </c>
      <c r="C74" s="227" t="s">
        <v>156</v>
      </c>
      <c r="D74" s="264" t="s">
        <v>144</v>
      </c>
      <c r="E74" s="265">
        <f>E64*0.31</f>
        <v>1.9375E-2</v>
      </c>
      <c r="F74" s="265">
        <f t="shared" ref="F74:G74" si="2">F64*0.31</f>
        <v>0.124</v>
      </c>
      <c r="G74" s="265">
        <f t="shared" si="2"/>
        <v>0.155</v>
      </c>
      <c r="H74" s="266">
        <f>H64*0.313</f>
        <v>0.1565</v>
      </c>
      <c r="I74" s="266">
        <f>I64*0.313</f>
        <v>0.1450755</v>
      </c>
      <c r="J74" s="266">
        <f t="shared" ref="J74:N74" si="3">J64*0.313</f>
        <v>0.13448498850000001</v>
      </c>
      <c r="K74" s="266">
        <f t="shared" si="3"/>
        <v>0.12466758433950001</v>
      </c>
      <c r="L74" s="266">
        <f t="shared" si="3"/>
        <v>0.11556685068271651</v>
      </c>
      <c r="M74" s="266">
        <f t="shared" si="3"/>
        <v>0.1071304705828782</v>
      </c>
      <c r="N74" s="266">
        <f t="shared" si="3"/>
        <v>9.9309946230328086E-2</v>
      </c>
      <c r="P74" s="79" t="s">
        <v>157</v>
      </c>
      <c r="Q74" s="79"/>
      <c r="R74" s="80">
        <v>0</v>
      </c>
      <c r="S74" s="80">
        <f>E76</f>
        <v>2.6543749999999999</v>
      </c>
      <c r="T74" s="80">
        <f t="shared" ref="T74:AA74" si="4">F76</f>
        <v>16.988</v>
      </c>
      <c r="U74" s="80">
        <f t="shared" si="4"/>
        <v>21.234999999999999</v>
      </c>
      <c r="V74" s="80">
        <f t="shared" si="4"/>
        <v>21.4405</v>
      </c>
      <c r="W74" s="80">
        <f t="shared" si="4"/>
        <v>18.424443424499998</v>
      </c>
      <c r="X74" s="80">
        <f t="shared" si="4"/>
        <v>15.832658543532162</v>
      </c>
      <c r="Y74" s="80">
        <f t="shared" si="4"/>
        <v>13.605462633554948</v>
      </c>
      <c r="Z74" s="80">
        <f t="shared" si="4"/>
        <v>11.691568599430141</v>
      </c>
      <c r="AA74" s="80">
        <f t="shared" si="4"/>
        <v>10.046903952979703</v>
      </c>
    </row>
    <row r="75" spans="2:27" s="2" customFormat="1" x14ac:dyDescent="0.3">
      <c r="B75" s="340"/>
      <c r="C75" s="227" t="s">
        <v>158</v>
      </c>
      <c r="D75" s="264" t="s">
        <v>144</v>
      </c>
      <c r="E75" s="267">
        <v>137</v>
      </c>
      <c r="F75" s="267">
        <v>137</v>
      </c>
      <c r="G75" s="267">
        <v>137</v>
      </c>
      <c r="H75" s="268">
        <v>137</v>
      </c>
      <c r="I75" s="268">
        <f>H75-H75*0.073</f>
        <v>126.999</v>
      </c>
      <c r="J75" s="268">
        <f t="shared" ref="J75:N75" si="5">I75-I75*0.073</f>
        <v>117.72807299999999</v>
      </c>
      <c r="K75" s="268">
        <f t="shared" si="5"/>
        <v>109.13392367099999</v>
      </c>
      <c r="L75" s="268">
        <f t="shared" si="5"/>
        <v>101.167147243017</v>
      </c>
      <c r="M75" s="268">
        <f t="shared" si="5"/>
        <v>93.781945494276755</v>
      </c>
      <c r="N75" s="268">
        <f t="shared" si="5"/>
        <v>86.935863473194559</v>
      </c>
      <c r="P75" s="79" t="s">
        <v>159</v>
      </c>
      <c r="Q75" s="79"/>
      <c r="R75" s="80">
        <f t="shared" ref="R75:AA82" si="6">Q74</f>
        <v>0</v>
      </c>
      <c r="S75" s="80">
        <f t="shared" si="6"/>
        <v>0</v>
      </c>
      <c r="T75" s="80">
        <f t="shared" si="6"/>
        <v>2.6543749999999999</v>
      </c>
      <c r="U75" s="80">
        <f t="shared" si="6"/>
        <v>16.988</v>
      </c>
      <c r="V75" s="80">
        <f t="shared" si="6"/>
        <v>21.234999999999999</v>
      </c>
      <c r="W75" s="80">
        <f t="shared" si="6"/>
        <v>21.4405</v>
      </c>
      <c r="X75" s="80">
        <f t="shared" si="6"/>
        <v>18.424443424499998</v>
      </c>
      <c r="Y75" s="80">
        <f t="shared" si="6"/>
        <v>15.832658543532162</v>
      </c>
      <c r="Z75" s="80">
        <f t="shared" si="6"/>
        <v>13.605462633554948</v>
      </c>
      <c r="AA75" s="80">
        <f t="shared" si="6"/>
        <v>11.691568599430141</v>
      </c>
    </row>
    <row r="76" spans="2:27" s="2" customFormat="1" x14ac:dyDescent="0.3">
      <c r="B76" s="340"/>
      <c r="C76" s="227" t="s">
        <v>160</v>
      </c>
      <c r="D76" s="269" t="s">
        <v>144</v>
      </c>
      <c r="E76" s="270">
        <f>PRODUCT(E74:E75)</f>
        <v>2.6543749999999999</v>
      </c>
      <c r="F76" s="270">
        <f t="shared" ref="F76:N76" si="7">PRODUCT(F74:F75)</f>
        <v>16.988</v>
      </c>
      <c r="G76" s="270">
        <f t="shared" si="7"/>
        <v>21.234999999999999</v>
      </c>
      <c r="H76" s="270">
        <f t="shared" si="7"/>
        <v>21.4405</v>
      </c>
      <c r="I76" s="270">
        <f t="shared" si="7"/>
        <v>18.424443424499998</v>
      </c>
      <c r="J76" s="270">
        <f t="shared" si="7"/>
        <v>15.832658543532162</v>
      </c>
      <c r="K76" s="270">
        <f t="shared" si="7"/>
        <v>13.605462633554948</v>
      </c>
      <c r="L76" s="270">
        <f t="shared" si="7"/>
        <v>11.691568599430141</v>
      </c>
      <c r="M76" s="270">
        <f t="shared" si="7"/>
        <v>10.046903952979703</v>
      </c>
      <c r="N76" s="270">
        <f t="shared" si="7"/>
        <v>8.633595927010095</v>
      </c>
      <c r="P76" s="79" t="s">
        <v>161</v>
      </c>
      <c r="Q76" s="79"/>
      <c r="R76" s="80">
        <f t="shared" si="6"/>
        <v>0</v>
      </c>
      <c r="S76" s="80">
        <f t="shared" si="6"/>
        <v>0</v>
      </c>
      <c r="T76" s="80">
        <f t="shared" si="6"/>
        <v>0</v>
      </c>
      <c r="U76" s="80">
        <f t="shared" si="6"/>
        <v>2.6543749999999999</v>
      </c>
      <c r="V76" s="80">
        <f t="shared" si="6"/>
        <v>16.988</v>
      </c>
      <c r="W76" s="80">
        <f t="shared" si="6"/>
        <v>21.234999999999999</v>
      </c>
      <c r="X76" s="80">
        <f t="shared" si="6"/>
        <v>21.4405</v>
      </c>
      <c r="Y76" s="80">
        <f t="shared" si="6"/>
        <v>18.424443424499998</v>
      </c>
      <c r="Z76" s="80">
        <f t="shared" si="6"/>
        <v>15.832658543532162</v>
      </c>
      <c r="AA76" s="80">
        <f t="shared" si="6"/>
        <v>13.605462633554948</v>
      </c>
    </row>
    <row r="77" spans="2:27" s="2" customFormat="1" x14ac:dyDescent="0.3">
      <c r="B77" s="340"/>
      <c r="C77" s="227" t="s">
        <v>162</v>
      </c>
      <c r="D77" s="269" t="s">
        <v>144</v>
      </c>
      <c r="E77" s="270">
        <f>R83</f>
        <v>0</v>
      </c>
      <c r="F77" s="270">
        <f t="shared" ref="F77:N77" si="8">S83</f>
        <v>-2.9198125000000004</v>
      </c>
      <c r="G77" s="270">
        <f>T83</f>
        <v>-19.748735806250004</v>
      </c>
      <c r="H77" s="270">
        <f t="shared" si="8"/>
        <v>-25.642664010000004</v>
      </c>
      <c r="I77" s="270">
        <f t="shared" si="8"/>
        <v>2.1067421599999907</v>
      </c>
      <c r="J77" s="270">
        <f t="shared" si="8"/>
        <v>46.005728558050002</v>
      </c>
      <c r="K77" s="270">
        <f t="shared" si="8"/>
        <v>88.157531981274914</v>
      </c>
      <c r="L77" s="270">
        <f t="shared" si="8"/>
        <v>115.59552152575468</v>
      </c>
      <c r="M77" s="270">
        <f t="shared" si="8"/>
        <v>129.06890290966774</v>
      </c>
      <c r="N77" s="270">
        <f t="shared" si="8"/>
        <v>135.72156898066189</v>
      </c>
      <c r="P77" s="79" t="s">
        <v>163</v>
      </c>
      <c r="Q77" s="79"/>
      <c r="R77" s="80">
        <f t="shared" si="6"/>
        <v>0</v>
      </c>
      <c r="S77" s="80">
        <f t="shared" si="6"/>
        <v>0</v>
      </c>
      <c r="T77" s="80">
        <f t="shared" si="6"/>
        <v>0</v>
      </c>
      <c r="U77" s="80">
        <f t="shared" si="6"/>
        <v>0</v>
      </c>
      <c r="V77" s="80">
        <f t="shared" si="6"/>
        <v>2.6543749999999999</v>
      </c>
      <c r="W77" s="80">
        <f t="shared" si="6"/>
        <v>16.988</v>
      </c>
      <c r="X77" s="80">
        <f t="shared" si="6"/>
        <v>21.234999999999999</v>
      </c>
      <c r="Y77" s="80">
        <f t="shared" si="6"/>
        <v>21.4405</v>
      </c>
      <c r="Z77" s="80">
        <f t="shared" si="6"/>
        <v>18.424443424499998</v>
      </c>
      <c r="AA77" s="80">
        <f t="shared" si="6"/>
        <v>15.832658543532162</v>
      </c>
    </row>
    <row r="78" spans="2:27" s="2" customFormat="1" x14ac:dyDescent="0.3">
      <c r="B78" s="340"/>
      <c r="C78" s="227" t="s">
        <v>164</v>
      </c>
      <c r="D78" s="269" t="s">
        <v>144</v>
      </c>
      <c r="E78" s="270">
        <f>(E77/'Model input'!$C$16)+(E76*'Model input'!$C$17)</f>
        <v>2.6543750000000001E-2</v>
      </c>
      <c r="F78" s="270">
        <f>(F77/'Model input'!$C$16)+(F76*'Model input'!$C$17)</f>
        <v>0.11148374999999999</v>
      </c>
      <c r="G78" s="270">
        <f>(G77/'Model input'!$C$16)+(G76*'Model input'!$C$17)</f>
        <v>-0.18262471612500006</v>
      </c>
      <c r="H78" s="270">
        <f>(H77/'Model input'!$C$16)+(H76*'Model input'!$C$17)</f>
        <v>-0.29844828020000008</v>
      </c>
      <c r="I78" s="270">
        <f>(I77/'Model input'!$C$16)+(I76*'Model input'!$C$17)</f>
        <v>0.2263792774449998</v>
      </c>
      <c r="J78" s="270">
        <f>(J77/'Model input'!$C$16)+(J76*'Model input'!$C$17)</f>
        <v>1.0784411565963217</v>
      </c>
      <c r="K78" s="270">
        <f>(K77/'Model input'!$C$16)+(K76*'Model input'!$C$17)</f>
        <v>1.8992052659610479</v>
      </c>
      <c r="L78" s="270">
        <f>(L77/'Model input'!$C$16)+(L76*'Model input'!$C$17)</f>
        <v>2.428826116509395</v>
      </c>
      <c r="M78" s="270">
        <f>(M77/'Model input'!$C$16)+(M76*'Model input'!$C$17)</f>
        <v>2.6818470977231521</v>
      </c>
      <c r="N78" s="270">
        <f>(N77/'Model input'!$C$16)+(N76*'Model input'!$C$17)</f>
        <v>2.8007673388833383</v>
      </c>
      <c r="P78" s="79" t="s">
        <v>165</v>
      </c>
      <c r="Q78" s="79"/>
      <c r="R78" s="80">
        <f t="shared" si="6"/>
        <v>0</v>
      </c>
      <c r="S78" s="80">
        <f t="shared" si="6"/>
        <v>0</v>
      </c>
      <c r="T78" s="80">
        <f t="shared" si="6"/>
        <v>0</v>
      </c>
      <c r="U78" s="80">
        <f t="shared" si="6"/>
        <v>0</v>
      </c>
      <c r="V78" s="80">
        <f t="shared" si="6"/>
        <v>0</v>
      </c>
      <c r="W78" s="80">
        <f t="shared" si="6"/>
        <v>2.6543749999999999</v>
      </c>
      <c r="X78" s="80">
        <f t="shared" si="6"/>
        <v>16.988</v>
      </c>
      <c r="Y78" s="80">
        <f t="shared" si="6"/>
        <v>21.234999999999999</v>
      </c>
      <c r="Z78" s="80">
        <f t="shared" si="6"/>
        <v>21.4405</v>
      </c>
      <c r="AA78" s="80">
        <f t="shared" si="6"/>
        <v>18.424443424499998</v>
      </c>
    </row>
    <row r="79" spans="2:27" s="2" customFormat="1" x14ac:dyDescent="0.3">
      <c r="B79" s="340"/>
      <c r="C79" s="227" t="s">
        <v>166</v>
      </c>
      <c r="D79" s="269" t="s">
        <v>144</v>
      </c>
      <c r="E79" s="271">
        <f>E78*'Model input'!F23</f>
        <v>31.237698325765546</v>
      </c>
      <c r="F79" s="271">
        <f>F78*'Model input'!G23</f>
        <v>62.24050774945561</v>
      </c>
      <c r="G79" s="271">
        <f>G78*'Model input'!H23</f>
        <v>-101.95795404460469</v>
      </c>
      <c r="H79" s="271">
        <f>H78*'Model input'!I23</f>
        <v>-166.62134612981538</v>
      </c>
      <c r="I79" s="271">
        <f>I78*'Model input'!J23</f>
        <v>126.38578422533932</v>
      </c>
      <c r="J79" s="271">
        <f>J78*'Model input'!K23</f>
        <v>602.08528296245174</v>
      </c>
      <c r="K79" s="271">
        <f>K78*'Model input'!L23</f>
        <v>1060.3114810351778</v>
      </c>
      <c r="L79" s="271">
        <f>L78*'Model input'!M23</f>
        <v>1355.9946694175894</v>
      </c>
      <c r="M79" s="271">
        <f>M78*'Model input'!N23</f>
        <v>1497.254308979496</v>
      </c>
      <c r="N79" s="271">
        <f>N78*'Model input'!O23</f>
        <v>1563.6465517188881</v>
      </c>
      <c r="P79" s="79" t="s">
        <v>167</v>
      </c>
      <c r="Q79" s="79"/>
      <c r="R79" s="80">
        <f t="shared" si="6"/>
        <v>0</v>
      </c>
      <c r="S79" s="80">
        <f t="shared" si="6"/>
        <v>0</v>
      </c>
      <c r="T79" s="80">
        <f t="shared" si="6"/>
        <v>0</v>
      </c>
      <c r="U79" s="80">
        <f t="shared" si="6"/>
        <v>0</v>
      </c>
      <c r="V79" s="80">
        <f t="shared" si="6"/>
        <v>0</v>
      </c>
      <c r="W79" s="80">
        <f t="shared" si="6"/>
        <v>0</v>
      </c>
      <c r="X79" s="80">
        <f t="shared" si="6"/>
        <v>2.6543749999999999</v>
      </c>
      <c r="Y79" s="80">
        <f t="shared" si="6"/>
        <v>16.988</v>
      </c>
      <c r="Z79" s="80">
        <f t="shared" si="6"/>
        <v>21.234999999999999</v>
      </c>
      <c r="AA79" s="80">
        <f t="shared" si="6"/>
        <v>21.4405</v>
      </c>
    </row>
    <row r="80" spans="2:27" s="2" customFormat="1" x14ac:dyDescent="0.3">
      <c r="B80" s="340"/>
      <c r="C80" s="260" t="s">
        <v>150</v>
      </c>
      <c r="D80" s="261" t="s">
        <v>144</v>
      </c>
      <c r="E80" s="262">
        <f>E77*'Model input'!G42-E79</f>
        <v>-31.237698325765546</v>
      </c>
      <c r="F80" s="262">
        <f>F77*'Model input'!H42-F79</f>
        <v>-393.47120637121009</v>
      </c>
      <c r="G80" s="262">
        <f>G77*'Model input'!I42-G79</f>
        <v>-1185.5653261460268</v>
      </c>
      <c r="H80" s="262">
        <f>H77*'Model input'!J42-H79</f>
        <v>-1505.1579111800543</v>
      </c>
      <c r="I80" s="262">
        <f>I77*'Model input'!K42-I79</f>
        <v>10.963745535479561</v>
      </c>
      <c r="J80" s="262">
        <f>J77*'Model input'!L42-J79</f>
        <v>2397.2685552652274</v>
      </c>
      <c r="K80" s="262">
        <f>K77*'Model input'!M42-K79</f>
        <v>4687.1386779831018</v>
      </c>
      <c r="L80" s="262">
        <f>L77*'Model input'!N42-L79</f>
        <v>6180.2813996098093</v>
      </c>
      <c r="M80" s="262">
        <f>M77*'Model input'!O42-M79</f>
        <v>6917.4218948648941</v>
      </c>
      <c r="N80" s="262">
        <f>N77*'Model input'!P42-N79</f>
        <v>7284.7517154399811</v>
      </c>
      <c r="P80" s="79" t="s">
        <v>168</v>
      </c>
      <c r="Q80" s="79"/>
      <c r="R80" s="80">
        <f t="shared" si="6"/>
        <v>0</v>
      </c>
      <c r="S80" s="80">
        <f t="shared" si="6"/>
        <v>0</v>
      </c>
      <c r="T80" s="80">
        <f t="shared" si="6"/>
        <v>0</v>
      </c>
      <c r="U80" s="80">
        <f t="shared" si="6"/>
        <v>0</v>
      </c>
      <c r="V80" s="80">
        <f t="shared" si="6"/>
        <v>0</v>
      </c>
      <c r="W80" s="80">
        <f t="shared" si="6"/>
        <v>0</v>
      </c>
      <c r="X80" s="80">
        <f t="shared" si="6"/>
        <v>0</v>
      </c>
      <c r="Y80" s="80">
        <f t="shared" si="6"/>
        <v>2.6543749999999999</v>
      </c>
      <c r="Z80" s="80">
        <f t="shared" si="6"/>
        <v>16.988</v>
      </c>
      <c r="AA80" s="80">
        <f t="shared" si="6"/>
        <v>21.234999999999999</v>
      </c>
    </row>
    <row r="81" spans="2:27" s="2" customFormat="1" x14ac:dyDescent="0.3">
      <c r="B81" s="340"/>
      <c r="C81" s="260" t="s">
        <v>169</v>
      </c>
      <c r="D81" s="261" t="s">
        <v>144</v>
      </c>
      <c r="E81" s="262">
        <f t="shared" ref="E81:N81" si="9">E80/(1+$C$3)^(E$63-2023)</f>
        <v>-28.397907568877766</v>
      </c>
      <c r="F81" s="262">
        <f t="shared" si="9"/>
        <v>-325.18281518281822</v>
      </c>
      <c r="G81" s="262">
        <f t="shared" si="9"/>
        <v>-890.73277696921593</v>
      </c>
      <c r="H81" s="262">
        <f t="shared" si="9"/>
        <v>-1028.0431057851608</v>
      </c>
      <c r="I81" s="262">
        <f t="shared" si="9"/>
        <v>6.8076233835738718</v>
      </c>
      <c r="J81" s="262">
        <f t="shared" si="9"/>
        <v>1353.1956027849035</v>
      </c>
      <c r="K81" s="262">
        <f t="shared" si="9"/>
        <v>2405.2432638801697</v>
      </c>
      <c r="L81" s="262">
        <f t="shared" si="9"/>
        <v>2883.1468846909152</v>
      </c>
      <c r="M81" s="262">
        <f t="shared" si="9"/>
        <v>2933.6621508898816</v>
      </c>
      <c r="N81" s="262">
        <f t="shared" si="9"/>
        <v>2808.5871390481525</v>
      </c>
      <c r="P81" s="79" t="s">
        <v>170</v>
      </c>
      <c r="Q81" s="79"/>
      <c r="R81" s="80">
        <f t="shared" si="6"/>
        <v>0</v>
      </c>
      <c r="S81" s="80">
        <f t="shared" si="6"/>
        <v>0</v>
      </c>
      <c r="T81" s="80">
        <f t="shared" si="6"/>
        <v>0</v>
      </c>
      <c r="U81" s="80">
        <f t="shared" si="6"/>
        <v>0</v>
      </c>
      <c r="V81" s="80">
        <f t="shared" si="6"/>
        <v>0</v>
      </c>
      <c r="W81" s="80">
        <f t="shared" si="6"/>
        <v>0</v>
      </c>
      <c r="X81" s="80">
        <f t="shared" si="6"/>
        <v>0</v>
      </c>
      <c r="Y81" s="80">
        <f t="shared" si="6"/>
        <v>0</v>
      </c>
      <c r="Z81" s="80">
        <f t="shared" si="6"/>
        <v>2.6543749999999999</v>
      </c>
      <c r="AA81" s="80">
        <f t="shared" si="6"/>
        <v>16.988</v>
      </c>
    </row>
    <row r="82" spans="2:27" s="2" customFormat="1" x14ac:dyDescent="0.3">
      <c r="B82" s="340"/>
      <c r="C82" s="260" t="s">
        <v>152</v>
      </c>
      <c r="D82" s="261" t="s">
        <v>144</v>
      </c>
      <c r="E82" s="262">
        <f>E81/('Model input'!$F$54/'Model input'!$D$54)</f>
        <v>-16.109122541627389</v>
      </c>
      <c r="F82" s="262">
        <f>F81/('Model input'!$F$54/'Model input'!$D$54)</f>
        <v>-184.46464076643244</v>
      </c>
      <c r="G82" s="262">
        <f>G81/('Model input'!$F$54/'Model input'!$D$54)</f>
        <v>-505.28101132939213</v>
      </c>
      <c r="H82" s="262">
        <f>H81/('Model input'!$F$54/'Model input'!$D$54)</f>
        <v>-583.17227524601094</v>
      </c>
      <c r="I82" s="262">
        <f>I81/('Model input'!$F$54/'Model input'!$D$54)</f>
        <v>3.8617225243533433</v>
      </c>
      <c r="J82" s="262">
        <f>J81/('Model input'!$F$54/'Model input'!$D$54)</f>
        <v>767.61971758593188</v>
      </c>
      <c r="K82" s="262">
        <f>K81/('Model input'!$F$54/'Model input'!$D$54)</f>
        <v>1364.4089229564549</v>
      </c>
      <c r="L82" s="262">
        <f>L81/('Model input'!$F$54/'Model input'!$D$54)</f>
        <v>1635.5066428168045</v>
      </c>
      <c r="M82" s="262">
        <f>M81/('Model input'!$F$54/'Model input'!$D$54)</f>
        <v>1664.1621559544662</v>
      </c>
      <c r="N82" s="262">
        <f>N81/('Model input'!$F$54/'Model input'!$D$54)</f>
        <v>1593.2115520141233</v>
      </c>
      <c r="P82" s="79" t="s">
        <v>171</v>
      </c>
      <c r="Q82" s="79"/>
      <c r="R82" s="80">
        <f t="shared" si="6"/>
        <v>0</v>
      </c>
      <c r="S82" s="80">
        <f t="shared" si="6"/>
        <v>0</v>
      </c>
      <c r="T82" s="80">
        <f t="shared" si="6"/>
        <v>0</v>
      </c>
      <c r="U82" s="80">
        <f t="shared" si="6"/>
        <v>0</v>
      </c>
      <c r="V82" s="80">
        <f t="shared" si="6"/>
        <v>0</v>
      </c>
      <c r="W82" s="80">
        <f t="shared" si="6"/>
        <v>0</v>
      </c>
      <c r="X82" s="80">
        <f t="shared" si="6"/>
        <v>0</v>
      </c>
      <c r="Y82" s="80">
        <f t="shared" si="6"/>
        <v>0</v>
      </c>
      <c r="Z82" s="80">
        <f t="shared" si="6"/>
        <v>0</v>
      </c>
      <c r="AA82" s="80">
        <f>Z81</f>
        <v>2.6543749999999999</v>
      </c>
    </row>
    <row r="83" spans="2:27" s="2" customFormat="1" x14ac:dyDescent="0.3">
      <c r="B83" s="340"/>
      <c r="C83" s="168" t="s">
        <v>154</v>
      </c>
      <c r="D83" s="184"/>
      <c r="E83" s="185">
        <f>E82*'Model input'!$C$60</f>
        <v>-0.31171152118048995</v>
      </c>
      <c r="F83" s="185">
        <f>F82*'Model input'!$C$60</f>
        <v>-3.5693907988304674</v>
      </c>
      <c r="G83" s="185">
        <f>G82*'Model input'!$C$60</f>
        <v>-9.777187569223738</v>
      </c>
      <c r="H83" s="185">
        <f>H82*'Model input'!$C$60</f>
        <v>-11.284383526010311</v>
      </c>
      <c r="I83" s="185">
        <f>I82*'Model input'!$C$60</f>
        <v>7.4724330846237183E-2</v>
      </c>
      <c r="J83" s="185">
        <f>J82*'Model input'!$C$60</f>
        <v>14.85344153528778</v>
      </c>
      <c r="K83" s="185">
        <f>K82*'Model input'!$C$60</f>
        <v>26.401312659207402</v>
      </c>
      <c r="L83" s="185">
        <f>L82*'Model input'!$C$60</f>
        <v>31.647053538505165</v>
      </c>
      <c r="M83" s="185">
        <f>M82*'Model input'!$C$60</f>
        <v>32.201537717718921</v>
      </c>
      <c r="N83" s="185">
        <f>N82*'Model input'!$C$60</f>
        <v>30.828643531473283</v>
      </c>
      <c r="P83" s="81" t="s">
        <v>172</v>
      </c>
      <c r="Q83" s="81"/>
      <c r="R83" s="82">
        <f>R74*'Model input'!$C$30+R75*'Model input'!$D$30+R76*'Model input'!$E$30+R77*'Model input'!$F$30+R78*'Model input'!$G$30+R79*'Model input'!$H$30+R80*'Model input'!$I$30+R81*'Model input'!$J$30+R82*'Model input'!$K$30</f>
        <v>0</v>
      </c>
      <c r="S83" s="82">
        <f>S74*'Model input'!$C$30+S75*'Model input'!$D$30+S76*'Model input'!$E$30+S77*'Model input'!$F$30+S78*'Model input'!$G$30+S79*'Model input'!$H$30+S80*'Model input'!$I$30+S81*'Model input'!$J$30+S82*'Model input'!$K$30</f>
        <v>-2.9198125000000004</v>
      </c>
      <c r="T83" s="82">
        <f>T74*'Model input'!$C$30+T75*'Model input'!$D$30+T76*'Model input'!$E$30+T77*'Model input'!$F$30+T78*'Model input'!$G$30+T79*'Model input'!$H$30+T80*'Model input'!$I$30+T81*'Model input'!$J$30+T82*'Model input'!$K$30</f>
        <v>-19.748735806250004</v>
      </c>
      <c r="U83" s="82">
        <f>U74*'Model input'!$C$30+U75*'Model input'!$D$30+U76*'Model input'!$E$30+U77*'Model input'!$F$30+U78*'Model input'!$G$30+U79*'Model input'!$H$30+U80*'Model input'!$I$30+U81*'Model input'!$J$30+U82*'Model input'!$K$30</f>
        <v>-25.642664010000004</v>
      </c>
      <c r="V83" s="82">
        <f>V74*'Model input'!$C$30+V75*'Model input'!$D$30+V76*'Model input'!$E$30+V77*'Model input'!$F$30+V78*'Model input'!$G$30+V79*'Model input'!$H$30+V80*'Model input'!$I$30+V81*'Model input'!$J$30+V82*'Model input'!$K$30</f>
        <v>2.1067421599999907</v>
      </c>
      <c r="W83" s="82">
        <f>W74*'Model input'!$C$30+W75*'Model input'!$D$30+W76*'Model input'!$E$30+W77*'Model input'!$F$30+W78*'Model input'!$G$30+W79*'Model input'!$H$30+W80*'Model input'!$I$30+W81*'Model input'!$J$30+W82*'Model input'!$K$30</f>
        <v>46.005728558050002</v>
      </c>
      <c r="X83" s="82">
        <f>X74*'Model input'!$C$30+X75*'Model input'!$D$30+X76*'Model input'!$E$30+X77*'Model input'!$F$30+X78*'Model input'!$G$30+X79*'Model input'!$H$30+X80*'Model input'!$I$30+X81*'Model input'!$J$30+X82*'Model input'!$K$30</f>
        <v>88.157531981274914</v>
      </c>
      <c r="Y83" s="82">
        <f>Y74*'Model input'!$C$30+Y75*'Model input'!$D$30+Y76*'Model input'!$E$30+Y77*'Model input'!$F$30+Y78*'Model input'!$G$30+Y79*'Model input'!$H$30+Y80*'Model input'!$I$30+Y81*'Model input'!$J$30+Y82*'Model input'!$K$30</f>
        <v>115.59552152575468</v>
      </c>
      <c r="Z83" s="82">
        <f>Z74*'Model input'!$C$30+Z75*'Model input'!$D$30+Z76*'Model input'!$E$30+Z77*'Model input'!$F$30+Z78*'Model input'!$G$30+Z79*'Model input'!$H$30+Z80*'Model input'!$I$30+Z81*'Model input'!$J$30+Z82*'Model input'!$K$30</f>
        <v>129.06890290966774</v>
      </c>
      <c r="AA83" s="82">
        <f>AA74*'Model input'!$C$30+AA75*'Model input'!$D$30+AA76*'Model input'!$E$30+AA77*'Model input'!$F$30+AA78*'Model input'!$G$30+AA79*'Model input'!$H$30+AA80*'Model input'!$I$30+AA81*'Model input'!$J$30+AA82*'Model input'!$K$30</f>
        <v>135.72156898066189</v>
      </c>
    </row>
    <row r="84" spans="2:27" s="2" customFormat="1" x14ac:dyDescent="0.3">
      <c r="B84" s="340" t="s">
        <v>173</v>
      </c>
      <c r="C84" s="220" t="s">
        <v>174</v>
      </c>
      <c r="D84" s="264" t="s">
        <v>144</v>
      </c>
      <c r="E84" s="265">
        <v>6.25E-2</v>
      </c>
      <c r="F84" s="265">
        <v>0.32</v>
      </c>
      <c r="G84" s="265">
        <v>0.11749999999999999</v>
      </c>
      <c r="H84" s="271">
        <v>0</v>
      </c>
      <c r="I84" s="271">
        <v>0</v>
      </c>
      <c r="J84" s="271">
        <v>0</v>
      </c>
      <c r="K84" s="271">
        <v>0</v>
      </c>
      <c r="L84" s="271">
        <v>0</v>
      </c>
      <c r="M84" s="271">
        <v>0</v>
      </c>
      <c r="N84" s="271">
        <v>0</v>
      </c>
      <c r="P84" s="2" t="s">
        <v>175</v>
      </c>
      <c r="AA84" s="84"/>
    </row>
    <row r="85" spans="2:27" s="2" customFormat="1" ht="15.6" x14ac:dyDescent="0.3">
      <c r="B85" s="340"/>
      <c r="C85" s="220" t="s">
        <v>176</v>
      </c>
      <c r="D85" s="87" t="s">
        <v>144</v>
      </c>
      <c r="E85" s="225">
        <v>350</v>
      </c>
      <c r="F85" s="225">
        <v>350</v>
      </c>
      <c r="G85" s="225">
        <v>350</v>
      </c>
      <c r="H85" s="220">
        <v>0</v>
      </c>
      <c r="I85" s="220">
        <v>0</v>
      </c>
      <c r="J85" s="220">
        <v>0</v>
      </c>
      <c r="K85" s="220">
        <v>0</v>
      </c>
      <c r="L85" s="220">
        <v>0</v>
      </c>
      <c r="M85" s="220">
        <v>0</v>
      </c>
      <c r="N85" s="220">
        <v>0</v>
      </c>
      <c r="P85" s="4"/>
      <c r="Q85" s="78">
        <v>2023</v>
      </c>
      <c r="R85" s="78">
        <v>2024</v>
      </c>
      <c r="S85" s="78">
        <v>2025</v>
      </c>
      <c r="T85" s="78">
        <v>2026</v>
      </c>
      <c r="U85" s="78">
        <v>2027</v>
      </c>
      <c r="V85" s="78">
        <v>2028</v>
      </c>
      <c r="W85" s="78">
        <v>2029</v>
      </c>
      <c r="X85" s="78">
        <v>2030</v>
      </c>
      <c r="Y85" s="78">
        <v>2031</v>
      </c>
      <c r="Z85" s="78">
        <v>2032</v>
      </c>
      <c r="AA85" s="78">
        <v>2033</v>
      </c>
    </row>
    <row r="86" spans="2:27" s="2" customFormat="1" x14ac:dyDescent="0.3">
      <c r="B86" s="340"/>
      <c r="C86" s="227" t="s">
        <v>177</v>
      </c>
      <c r="D86" s="264" t="s">
        <v>144</v>
      </c>
      <c r="E86" s="272">
        <f>E85*$C$31</f>
        <v>297.5</v>
      </c>
      <c r="F86" s="272">
        <f t="shared" ref="F86:G86" si="10">F85*$C$31</f>
        <v>297.5</v>
      </c>
      <c r="G86" s="272">
        <f t="shared" si="10"/>
        <v>297.5</v>
      </c>
      <c r="H86" s="271">
        <v>0</v>
      </c>
      <c r="I86" s="271">
        <v>0</v>
      </c>
      <c r="J86" s="271">
        <v>0</v>
      </c>
      <c r="K86" s="271">
        <v>0</v>
      </c>
      <c r="L86" s="271">
        <v>0</v>
      </c>
      <c r="M86" s="271">
        <v>0</v>
      </c>
      <c r="N86" s="271">
        <v>0</v>
      </c>
      <c r="P86" s="79" t="s">
        <v>157</v>
      </c>
      <c r="Q86" s="79"/>
      <c r="R86" s="80">
        <f>E87*$C$34</f>
        <v>9.296875</v>
      </c>
      <c r="S86" s="80">
        <f t="shared" ref="S86:T86" si="11">F87*$C$34</f>
        <v>47.6</v>
      </c>
      <c r="T86" s="80">
        <f t="shared" si="11"/>
        <v>17.478124999999999</v>
      </c>
      <c r="U86" s="80">
        <f t="shared" ref="U86:AA86" si="12">H87</f>
        <v>0</v>
      </c>
      <c r="V86" s="80">
        <f t="shared" si="12"/>
        <v>0</v>
      </c>
      <c r="W86" s="80">
        <f t="shared" si="12"/>
        <v>0</v>
      </c>
      <c r="X86" s="80">
        <f t="shared" si="12"/>
        <v>0</v>
      </c>
      <c r="Y86" s="80">
        <f t="shared" si="12"/>
        <v>0</v>
      </c>
      <c r="Z86" s="80">
        <f t="shared" si="12"/>
        <v>0</v>
      </c>
      <c r="AA86" s="80">
        <f t="shared" si="12"/>
        <v>0</v>
      </c>
    </row>
    <row r="87" spans="2:27" s="2" customFormat="1" x14ac:dyDescent="0.3">
      <c r="B87" s="340"/>
      <c r="C87" s="227" t="s">
        <v>178</v>
      </c>
      <c r="D87" s="269" t="s">
        <v>144</v>
      </c>
      <c r="E87" s="270">
        <f>E84*E86</f>
        <v>18.59375</v>
      </c>
      <c r="F87" s="270">
        <f>F84*F86</f>
        <v>95.2</v>
      </c>
      <c r="G87" s="270">
        <f>G84*G86</f>
        <v>34.956249999999997</v>
      </c>
      <c r="H87" s="271">
        <v>0</v>
      </c>
      <c r="I87" s="271">
        <v>0</v>
      </c>
      <c r="J87" s="271">
        <v>0</v>
      </c>
      <c r="K87" s="271">
        <v>0</v>
      </c>
      <c r="L87" s="271">
        <v>0</v>
      </c>
      <c r="M87" s="271">
        <v>0</v>
      </c>
      <c r="N87" s="271">
        <v>0</v>
      </c>
      <c r="P87" s="79" t="s">
        <v>159</v>
      </c>
      <c r="Q87" s="79"/>
      <c r="R87" s="80">
        <f t="shared" ref="R87:AA88" si="13">Q86</f>
        <v>0</v>
      </c>
      <c r="S87" s="80">
        <f t="shared" si="13"/>
        <v>9.296875</v>
      </c>
      <c r="T87" s="80">
        <f t="shared" si="13"/>
        <v>47.6</v>
      </c>
      <c r="U87" s="80">
        <f t="shared" si="13"/>
        <v>17.478124999999999</v>
      </c>
      <c r="V87" s="80">
        <f t="shared" si="13"/>
        <v>0</v>
      </c>
      <c r="W87" s="80">
        <f t="shared" si="13"/>
        <v>0</v>
      </c>
      <c r="X87" s="80">
        <f t="shared" si="13"/>
        <v>0</v>
      </c>
      <c r="Y87" s="80">
        <f t="shared" si="13"/>
        <v>0</v>
      </c>
      <c r="Z87" s="80">
        <f t="shared" si="13"/>
        <v>0</v>
      </c>
      <c r="AA87" s="80">
        <f t="shared" si="13"/>
        <v>0</v>
      </c>
    </row>
    <row r="88" spans="2:27" s="2" customFormat="1" x14ac:dyDescent="0.3">
      <c r="B88" s="340"/>
      <c r="C88" s="220" t="s">
        <v>179</v>
      </c>
      <c r="D88" s="269" t="s">
        <v>144</v>
      </c>
      <c r="E88" s="271">
        <f>$C$34*R95</f>
        <v>0</v>
      </c>
      <c r="F88" s="271">
        <f t="shared" ref="F88:M88" si="14">$C$34*S95</f>
        <v>0</v>
      </c>
      <c r="G88" s="271">
        <f t="shared" si="14"/>
        <v>6.3916015625</v>
      </c>
      <c r="H88" s="271">
        <f t="shared" si="14"/>
        <v>37.954492187500001</v>
      </c>
      <c r="I88" s="271">
        <f t="shared" si="14"/>
        <v>46.344921874999997</v>
      </c>
      <c r="J88" s="271">
        <f t="shared" si="14"/>
        <v>54.316992187500006</v>
      </c>
      <c r="K88" s="271">
        <f t="shared" si="14"/>
        <v>51.504687500000003</v>
      </c>
      <c r="L88" s="271">
        <f t="shared" si="14"/>
        <v>58.895703125000004</v>
      </c>
      <c r="M88" s="271">
        <f t="shared" si="14"/>
        <v>71.097851562499997</v>
      </c>
      <c r="N88" s="271">
        <f t="shared" ref="N88" si="15">AA95*0.5</f>
        <v>65.078125</v>
      </c>
      <c r="P88" s="79" t="s">
        <v>161</v>
      </c>
      <c r="Q88" s="79"/>
      <c r="R88" s="80">
        <f t="shared" si="13"/>
        <v>0</v>
      </c>
      <c r="S88" s="80">
        <f t="shared" si="13"/>
        <v>0</v>
      </c>
      <c r="T88" s="80">
        <f t="shared" si="13"/>
        <v>9.296875</v>
      </c>
      <c r="U88" s="80">
        <f t="shared" si="13"/>
        <v>47.6</v>
      </c>
      <c r="V88" s="80">
        <f t="shared" si="13"/>
        <v>17.478124999999999</v>
      </c>
      <c r="W88" s="80">
        <f t="shared" si="13"/>
        <v>0</v>
      </c>
      <c r="X88" s="80">
        <f t="shared" si="13"/>
        <v>0</v>
      </c>
      <c r="Y88" s="80">
        <f t="shared" si="13"/>
        <v>0</v>
      </c>
      <c r="Z88" s="80">
        <f t="shared" si="13"/>
        <v>0</v>
      </c>
      <c r="AA88" s="80">
        <f t="shared" si="13"/>
        <v>0</v>
      </c>
    </row>
    <row r="89" spans="2:27" s="2" customFormat="1" x14ac:dyDescent="0.3">
      <c r="B89" s="340"/>
      <c r="C89" s="220" t="s">
        <v>180</v>
      </c>
      <c r="D89" s="269"/>
      <c r="E89" s="271">
        <f>$C$34*R107</f>
        <v>0</v>
      </c>
      <c r="F89" s="271">
        <f t="shared" ref="F89:M89" si="16">$C$34*S107</f>
        <v>0</v>
      </c>
      <c r="G89" s="271">
        <f t="shared" si="16"/>
        <v>1.2783203124999996</v>
      </c>
      <c r="H89" s="271">
        <f t="shared" si="16"/>
        <v>7.5908984374999982</v>
      </c>
      <c r="I89" s="271">
        <f t="shared" si="16"/>
        <v>9.2689843749999987</v>
      </c>
      <c r="J89" s="271">
        <f t="shared" si="16"/>
        <v>10.932148437499999</v>
      </c>
      <c r="K89" s="271">
        <f t="shared" si="16"/>
        <v>10.420918749999998</v>
      </c>
      <c r="L89" s="271">
        <f t="shared" si="16"/>
        <v>11.971613243749999</v>
      </c>
      <c r="M89" s="271">
        <f t="shared" si="16"/>
        <v>14.460492430081247</v>
      </c>
      <c r="N89" s="271">
        <f t="shared" ref="N89" si="17">0.5*AA107</f>
        <v>13.320209802997816</v>
      </c>
      <c r="P89" s="79" t="s">
        <v>163</v>
      </c>
      <c r="Q89" s="79"/>
      <c r="R89" s="80">
        <f t="shared" ref="R89:AA94" si="18">Q88</f>
        <v>0</v>
      </c>
      <c r="S89" s="80">
        <f t="shared" si="18"/>
        <v>0</v>
      </c>
      <c r="T89" s="80">
        <f t="shared" si="18"/>
        <v>0</v>
      </c>
      <c r="U89" s="80">
        <f t="shared" si="18"/>
        <v>9.296875</v>
      </c>
      <c r="V89" s="80">
        <f t="shared" si="18"/>
        <v>47.6</v>
      </c>
      <c r="W89" s="80">
        <f t="shared" si="18"/>
        <v>17.478124999999999</v>
      </c>
      <c r="X89" s="80">
        <f t="shared" si="18"/>
        <v>0</v>
      </c>
      <c r="Y89" s="80">
        <f t="shared" si="18"/>
        <v>0</v>
      </c>
      <c r="Z89" s="80">
        <f t="shared" si="18"/>
        <v>0</v>
      </c>
      <c r="AA89" s="80">
        <f t="shared" si="18"/>
        <v>0</v>
      </c>
    </row>
    <row r="90" spans="2:27" s="2" customFormat="1" x14ac:dyDescent="0.3">
      <c r="B90" s="340"/>
      <c r="C90" s="220" t="s">
        <v>181</v>
      </c>
      <c r="D90" s="87" t="s">
        <v>144</v>
      </c>
      <c r="E90" s="271">
        <f>E84*E85*$C$32</f>
        <v>164.0625</v>
      </c>
      <c r="F90" s="271">
        <f t="shared" ref="F90:N90" si="19">F84*F85*$C$32</f>
        <v>840</v>
      </c>
      <c r="G90" s="271">
        <f t="shared" si="19"/>
        <v>308.4375</v>
      </c>
      <c r="H90" s="220">
        <f t="shared" si="19"/>
        <v>0</v>
      </c>
      <c r="I90" s="220">
        <f t="shared" si="19"/>
        <v>0</v>
      </c>
      <c r="J90" s="220">
        <f t="shared" si="19"/>
        <v>0</v>
      </c>
      <c r="K90" s="220">
        <f t="shared" si="19"/>
        <v>0</v>
      </c>
      <c r="L90" s="220">
        <f t="shared" si="19"/>
        <v>0</v>
      </c>
      <c r="M90" s="220">
        <f t="shared" si="19"/>
        <v>0</v>
      </c>
      <c r="N90" s="220">
        <f t="shared" si="19"/>
        <v>0</v>
      </c>
      <c r="P90" s="79" t="s">
        <v>165</v>
      </c>
      <c r="Q90" s="79"/>
      <c r="R90" s="80">
        <f t="shared" si="18"/>
        <v>0</v>
      </c>
      <c r="S90" s="80">
        <f t="shared" si="18"/>
        <v>0</v>
      </c>
      <c r="T90" s="80">
        <f t="shared" si="18"/>
        <v>0</v>
      </c>
      <c r="U90" s="80">
        <f t="shared" si="18"/>
        <v>0</v>
      </c>
      <c r="V90" s="80">
        <f t="shared" si="18"/>
        <v>9.296875</v>
      </c>
      <c r="W90" s="80">
        <f t="shared" si="18"/>
        <v>47.6</v>
      </c>
      <c r="X90" s="80">
        <f t="shared" si="18"/>
        <v>17.478124999999999</v>
      </c>
      <c r="Y90" s="80">
        <f t="shared" si="18"/>
        <v>0</v>
      </c>
      <c r="Z90" s="80">
        <f t="shared" si="18"/>
        <v>0</v>
      </c>
      <c r="AA90" s="80">
        <f t="shared" si="18"/>
        <v>0</v>
      </c>
    </row>
    <row r="91" spans="2:27" s="2" customFormat="1" x14ac:dyDescent="0.3">
      <c r="B91" s="340"/>
      <c r="C91" s="227" t="s">
        <v>182</v>
      </c>
      <c r="D91" s="269" t="s">
        <v>144</v>
      </c>
      <c r="E91" s="270">
        <f>(SUM(E88:E89)/'Model input'!$C$16)+(0.5*E87*'Model input'!$C$18)</f>
        <v>0.46484375</v>
      </c>
      <c r="F91" s="270">
        <f>(SUM(F88:F89)/'Model input'!$C$16)+(0.5*F87*'Model input'!$C$18)</f>
        <v>2.3800000000000003</v>
      </c>
      <c r="G91" s="270">
        <f>(SUM(G88:G89)/'Model input'!$C$16)+(0.5*G87*'Model input'!$C$18)</f>
        <v>1.0273046875</v>
      </c>
      <c r="H91" s="270">
        <f>(SUM(H88:H89)/'Model input'!$C$16)+(0.5*H87*'Model input'!$C$18)</f>
        <v>0.91090781249999997</v>
      </c>
      <c r="I91" s="270">
        <f>(SUM(I88:I89)/'Model input'!$C$16)+(0.5*I87*'Model input'!$C$18)</f>
        <v>1.112278125</v>
      </c>
      <c r="J91" s="270">
        <f>(SUM(J88:J89)/'Model input'!$C$16)+(0.5*J87*'Model input'!$C$18)</f>
        <v>1.3049828125000003</v>
      </c>
      <c r="K91" s="270">
        <f>(SUM(K88:K89)/'Model input'!$C$16)+(0.5*K87*'Model input'!$C$18)</f>
        <v>1.238512125</v>
      </c>
      <c r="L91" s="270">
        <f>(SUM(L88:L89)/'Model input'!$C$16)+(0.5*L87*'Model input'!$C$18)</f>
        <v>1.4173463273750002</v>
      </c>
      <c r="M91" s="270">
        <f>(SUM(M88:M89)/'Model input'!$C$16)+(0.5*M87*'Model input'!$C$18)</f>
        <v>1.7111668798516249</v>
      </c>
      <c r="N91" s="270">
        <f>(SUM(N88:N89)/'Model input'!$C$16)+(0.5*N87*'Model input'!$C$18)</f>
        <v>1.5679666960599565</v>
      </c>
      <c r="P91" s="79" t="s">
        <v>167</v>
      </c>
      <c r="Q91" s="79"/>
      <c r="R91" s="80">
        <f t="shared" si="18"/>
        <v>0</v>
      </c>
      <c r="S91" s="80">
        <f t="shared" si="18"/>
        <v>0</v>
      </c>
      <c r="T91" s="80">
        <f t="shared" si="18"/>
        <v>0</v>
      </c>
      <c r="U91" s="80">
        <f t="shared" si="18"/>
        <v>0</v>
      </c>
      <c r="V91" s="80">
        <f t="shared" si="18"/>
        <v>0</v>
      </c>
      <c r="W91" s="80">
        <f t="shared" si="18"/>
        <v>9.296875</v>
      </c>
      <c r="X91" s="80">
        <f t="shared" si="18"/>
        <v>47.6</v>
      </c>
      <c r="Y91" s="80">
        <f t="shared" si="18"/>
        <v>17.478124999999999</v>
      </c>
      <c r="Z91" s="80">
        <f t="shared" si="18"/>
        <v>0</v>
      </c>
      <c r="AA91" s="80">
        <f t="shared" si="18"/>
        <v>0</v>
      </c>
    </row>
    <row r="92" spans="2:27" s="2" customFormat="1" x14ac:dyDescent="0.3">
      <c r="B92" s="340"/>
      <c r="C92" s="227" t="s">
        <v>183</v>
      </c>
      <c r="D92" s="269" t="s">
        <v>144</v>
      </c>
      <c r="E92" s="271">
        <f>E91*'Model input'!F23</f>
        <v>547.04587072729271</v>
      </c>
      <c r="F92" s="271">
        <f>F91*'Model input'!G23</f>
        <v>1328.7354295464979</v>
      </c>
      <c r="G92" s="271">
        <f>G91*'Model input'!H23</f>
        <v>573.53619126909371</v>
      </c>
      <c r="H92" s="271">
        <f>H91*'Model input'!I23</f>
        <v>508.55272416783532</v>
      </c>
      <c r="I92" s="271">
        <f>I91*'Model input'!J23</f>
        <v>620.97619840212099</v>
      </c>
      <c r="J92" s="271">
        <f>J91*'Model input'!K23</f>
        <v>728.56172181427917</v>
      </c>
      <c r="K92" s="271">
        <f>K91*'Model input'!L23</f>
        <v>691.45165563463047</v>
      </c>
      <c r="L92" s="271">
        <f>L91*'Model input'!M23</f>
        <v>791.29339542889579</v>
      </c>
      <c r="M92" s="271">
        <f>M91*'Model input'!N23</f>
        <v>955.33111727957521</v>
      </c>
      <c r="N92" s="271">
        <f>N91*'Model input'!O23</f>
        <v>875.38357201841563</v>
      </c>
      <c r="P92" s="79" t="s">
        <v>168</v>
      </c>
      <c r="Q92" s="79"/>
      <c r="R92" s="80">
        <f t="shared" si="18"/>
        <v>0</v>
      </c>
      <c r="S92" s="80">
        <f t="shared" si="18"/>
        <v>0</v>
      </c>
      <c r="T92" s="80">
        <f t="shared" si="18"/>
        <v>0</v>
      </c>
      <c r="U92" s="80">
        <f t="shared" si="18"/>
        <v>0</v>
      </c>
      <c r="V92" s="80">
        <f t="shared" si="18"/>
        <v>0</v>
      </c>
      <c r="W92" s="80">
        <f t="shared" si="18"/>
        <v>0</v>
      </c>
      <c r="X92" s="80">
        <f t="shared" si="18"/>
        <v>9.296875</v>
      </c>
      <c r="Y92" s="80">
        <f t="shared" si="18"/>
        <v>47.6</v>
      </c>
      <c r="Z92" s="80">
        <f t="shared" si="18"/>
        <v>17.478124999999999</v>
      </c>
      <c r="AA92" s="80">
        <f t="shared" si="18"/>
        <v>0</v>
      </c>
    </row>
    <row r="93" spans="2:27" s="2" customFormat="1" x14ac:dyDescent="0.3">
      <c r="B93" s="340"/>
      <c r="C93" s="227" t="s">
        <v>184</v>
      </c>
      <c r="D93" s="269" t="s">
        <v>144</v>
      </c>
      <c r="E93" s="271">
        <f>SUM(E88:E89)*'Model input'!G42-E92-E90</f>
        <v>-711.10837072729271</v>
      </c>
      <c r="F93" s="271">
        <f>SUM(F88:F89)*'Model input'!H42-F92-F90</f>
        <v>-2168.7354295464979</v>
      </c>
      <c r="G93" s="271">
        <f>SUM(G88:G89)*'Model input'!I42-G92-G90</f>
        <v>-381.93140662925293</v>
      </c>
      <c r="H93" s="271">
        <f>SUM(H88:H89)*'Model input'!J42-H92-H90</f>
        <v>2460.7892788025638</v>
      </c>
      <c r="I93" s="271">
        <f>SUM(I88:I89)*'Model input'!K42-I92-I90</f>
        <v>3004.7849491318516</v>
      </c>
      <c r="J93" s="271">
        <f>SUM(J88:J89)*'Model input'!L42-J92-J90</f>
        <v>3525.370701573182</v>
      </c>
      <c r="K93" s="271">
        <f>SUM(K88:K89)*'Model input'!M42-K92-K90</f>
        <v>3345.8021953972229</v>
      </c>
      <c r="L93" s="271">
        <f>SUM(L88:L89)*'Model input'!N42-L92-L90</f>
        <v>3828.9172613223036</v>
      </c>
      <c r="M93" s="271">
        <f>SUM(M88:M89)*'Model input'!O42-M92-M90</f>
        <v>4622.6643952303511</v>
      </c>
      <c r="N93" s="271">
        <f>SUM(N88:N89)*'Model input'!P42-N92-N90</f>
        <v>4235.813528258459</v>
      </c>
      <c r="P93" s="79" t="s">
        <v>170</v>
      </c>
      <c r="Q93" s="79"/>
      <c r="R93" s="80">
        <f t="shared" si="18"/>
        <v>0</v>
      </c>
      <c r="S93" s="80">
        <f t="shared" si="18"/>
        <v>0</v>
      </c>
      <c r="T93" s="80">
        <f t="shared" si="18"/>
        <v>0</v>
      </c>
      <c r="U93" s="80">
        <f t="shared" si="18"/>
        <v>0</v>
      </c>
      <c r="V93" s="80">
        <f t="shared" si="18"/>
        <v>0</v>
      </c>
      <c r="W93" s="80">
        <f t="shared" si="18"/>
        <v>0</v>
      </c>
      <c r="X93" s="80">
        <f t="shared" si="18"/>
        <v>0</v>
      </c>
      <c r="Y93" s="80">
        <f t="shared" si="18"/>
        <v>9.296875</v>
      </c>
      <c r="Z93" s="80">
        <f t="shared" si="18"/>
        <v>47.6</v>
      </c>
      <c r="AA93" s="80">
        <f t="shared" si="18"/>
        <v>17.478124999999999</v>
      </c>
    </row>
    <row r="94" spans="2:27" s="2" customFormat="1" x14ac:dyDescent="0.3">
      <c r="B94" s="340"/>
      <c r="C94" s="227" t="s">
        <v>185</v>
      </c>
      <c r="D94" s="269" t="s">
        <v>144</v>
      </c>
      <c r="E94" s="273">
        <f>$C$34*0.5*E87/$C$33*$C$24</f>
        <v>2.5773514851485149</v>
      </c>
      <c r="F94" s="273">
        <f>$C$34*0.5*SUM(E87:F87)/$C$33*$C$24</f>
        <v>15.773391089108911</v>
      </c>
      <c r="G94" s="273">
        <f t="shared" ref="G94:M94" si="20">$C$34*0.5*SUM($E87:$G87)/$C$33*$C$24</f>
        <v>20.618811881188119</v>
      </c>
      <c r="H94" s="273">
        <f t="shared" si="20"/>
        <v>20.618811881188119</v>
      </c>
      <c r="I94" s="273">
        <f t="shared" si="20"/>
        <v>20.618811881188119</v>
      </c>
      <c r="J94" s="273">
        <f t="shared" si="20"/>
        <v>20.618811881188119</v>
      </c>
      <c r="K94" s="273">
        <f t="shared" si="20"/>
        <v>20.618811881188119</v>
      </c>
      <c r="L94" s="273">
        <f t="shared" si="20"/>
        <v>20.618811881188119</v>
      </c>
      <c r="M94" s="273">
        <f t="shared" si="20"/>
        <v>20.618811881188119</v>
      </c>
      <c r="N94" s="273">
        <f>0.25*SUM($E87:$G87)/$C$33*$C$24</f>
        <v>20.618811881188119</v>
      </c>
      <c r="P94" s="79" t="s">
        <v>171</v>
      </c>
      <c r="Q94" s="79"/>
      <c r="R94" s="80">
        <f t="shared" si="18"/>
        <v>0</v>
      </c>
      <c r="S94" s="80">
        <f t="shared" si="18"/>
        <v>0</v>
      </c>
      <c r="T94" s="80">
        <f t="shared" si="18"/>
        <v>0</v>
      </c>
      <c r="U94" s="80">
        <f t="shared" si="18"/>
        <v>0</v>
      </c>
      <c r="V94" s="80">
        <f t="shared" si="18"/>
        <v>0</v>
      </c>
      <c r="W94" s="80">
        <f t="shared" si="18"/>
        <v>0</v>
      </c>
      <c r="X94" s="80">
        <f t="shared" si="18"/>
        <v>0</v>
      </c>
      <c r="Y94" s="80">
        <f t="shared" si="18"/>
        <v>0</v>
      </c>
      <c r="Z94" s="80">
        <f t="shared" si="18"/>
        <v>9.296875</v>
      </c>
      <c r="AA94" s="80">
        <f t="shared" si="18"/>
        <v>47.6</v>
      </c>
    </row>
    <row r="95" spans="2:27" s="2" customFormat="1" x14ac:dyDescent="0.3">
      <c r="B95" s="340"/>
      <c r="C95" s="227" t="s">
        <v>186</v>
      </c>
      <c r="D95" s="269" t="s">
        <v>144</v>
      </c>
      <c r="E95" s="274">
        <f>E94*'Model input'!F47-E94*$C$25</f>
        <v>78.609220297029694</v>
      </c>
      <c r="F95" s="274">
        <f>F94*'Model input'!H47-F94*$C$25</f>
        <v>349.11591675870534</v>
      </c>
      <c r="G95" s="274">
        <f>G94*'Model input'!I47-G94*$C$25</f>
        <v>521.07143931712392</v>
      </c>
      <c r="H95" s="274">
        <f>H94*'Model input'!J47-H94*$C$25</f>
        <v>549.22239007379153</v>
      </c>
      <c r="I95" s="274">
        <f>I94*'Model input'!K47-I94*$C$25</f>
        <v>549.22239007379153</v>
      </c>
      <c r="J95" s="274">
        <f>J94*'Model input'!L47-J94*$C$25</f>
        <v>549.22239007379153</v>
      </c>
      <c r="K95" s="274">
        <f>K94*'Model input'!M47-K94*$C$25</f>
        <v>549.22239007379153</v>
      </c>
      <c r="L95" s="274">
        <f>L94*'Model input'!N47-L94*$C$25</f>
        <v>549.22239007379153</v>
      </c>
      <c r="M95" s="274">
        <f>M94*'Model input'!O47-M94*$C$25</f>
        <v>549.22239007379153</v>
      </c>
      <c r="N95" s="274">
        <f>N94*'Model input'!P47-N94*$C$25</f>
        <v>549.22239007379153</v>
      </c>
      <c r="P95" s="81" t="s">
        <v>172</v>
      </c>
      <c r="Q95" s="81"/>
      <c r="R95" s="82">
        <f>R86*'Model input'!$C$35+R87*'Model input'!$D$35+R88*'Model input'!$E$35+R89*'Model input'!$F$35+R90*'Model input'!$G$35+R91*'Model input'!$H$35+R92*'Model input'!$I$35+R93*'Model input'!$J$35+R94*'Model input'!$K$35</f>
        <v>0</v>
      </c>
      <c r="S95" s="82">
        <f>S86*'Model input'!$C$35+S87*'Model input'!$D$35+S88*'Model input'!$E$35+S89*'Model input'!$F$35+S90*'Model input'!$G$35+S91*'Model input'!$H$35+S92*'Model input'!$I$35+S93*'Model input'!$J$35+S94*'Model input'!$K$35</f>
        <v>0</v>
      </c>
      <c r="T95" s="82">
        <f>T86*'Model input'!$C$35+T87*'Model input'!$D$35+T88*'Model input'!$E$35+T89*'Model input'!$F$35+T90*'Model input'!$G$35+T91*'Model input'!$H$35+T92*'Model input'!$I$35+T93*'Model input'!$J$35+T94*'Model input'!$K$35</f>
        <v>12.783203125</v>
      </c>
      <c r="U95" s="82">
        <f>U86*'Model input'!$C$35+U87*'Model input'!$D$35+U88*'Model input'!$E$35+U89*'Model input'!$F$35+U90*'Model input'!$G$35+U91*'Model input'!$H$35+U92*'Model input'!$I$35+U93*'Model input'!$J$35+U94*'Model input'!$K$35</f>
        <v>75.908984375000003</v>
      </c>
      <c r="V95" s="82">
        <f>V86*'Model input'!$C$35+V87*'Model input'!$D$35+V88*'Model input'!$E$35+V89*'Model input'!$F$35+V90*'Model input'!$G$35+V91*'Model input'!$H$35+V92*'Model input'!$I$35+V93*'Model input'!$J$35+V94*'Model input'!$K$35</f>
        <v>92.689843749999994</v>
      </c>
      <c r="W95" s="82">
        <f>W86*'Model input'!$C$35+W87*'Model input'!$D$35+W88*'Model input'!$E$35+W89*'Model input'!$F$35+W90*'Model input'!$G$35+W91*'Model input'!$H$35+W92*'Model input'!$I$35+W93*'Model input'!$J$35+W94*'Model input'!$K$35</f>
        <v>108.63398437500001</v>
      </c>
      <c r="X95" s="82">
        <f>X86*'Model input'!$C$35+X87*'Model input'!$D$35+X88*'Model input'!$E$35+X89*'Model input'!$F$35+X90*'Model input'!$G$35+X91*'Model input'!$H$35+X92*'Model input'!$I$35+X93*'Model input'!$J$35+X94*'Model input'!$K$35</f>
        <v>103.00937500000001</v>
      </c>
      <c r="Y95" s="82">
        <f>Y86*'Model input'!$C$35+Y87*'Model input'!$D$35+Y88*'Model input'!$E$35+Y89*'Model input'!$F$35+Y90*'Model input'!$G$35+Y91*'Model input'!$H$35+Y92*'Model input'!$I$35+Y93*'Model input'!$J$35+Y94*'Model input'!$K$35</f>
        <v>117.79140625000001</v>
      </c>
      <c r="Z95" s="82">
        <f>Z86*'Model input'!$C$35+Z87*'Model input'!$D$35+Z88*'Model input'!$E$35+Z89*'Model input'!$F$35+Z90*'Model input'!$G$35+Z91*'Model input'!$H$35+Z92*'Model input'!$I$35+Z93*'Model input'!$J$35+Z94*'Model input'!$K$35</f>
        <v>142.19570312499999</v>
      </c>
      <c r="AA95" s="82">
        <f>AA86*'Model input'!$C$35+AA87*'Model input'!$D$35+AA88*'Model input'!$E$35+AA89*'Model input'!$F$35+AA90*'Model input'!$G$35+AA91*'Model input'!$H$35+AA92*'Model input'!$I$35+AA93*'Model input'!$J$35+AA94*'Model input'!$K$35</f>
        <v>130.15625</v>
      </c>
    </row>
    <row r="96" spans="2:27" s="2" customFormat="1" x14ac:dyDescent="0.3">
      <c r="B96" s="340"/>
      <c r="C96" s="260" t="s">
        <v>150</v>
      </c>
      <c r="D96" s="261" t="s">
        <v>144</v>
      </c>
      <c r="E96" s="262">
        <f>E93-E95</f>
        <v>-789.71759102432236</v>
      </c>
      <c r="F96" s="262">
        <f t="shared" ref="F96:H96" si="21">F93-F95</f>
        <v>-2517.8513463052032</v>
      </c>
      <c r="G96" s="262">
        <f t="shared" si="21"/>
        <v>-903.00284594637685</v>
      </c>
      <c r="H96" s="262">
        <f t="shared" si="21"/>
        <v>1911.5668887287723</v>
      </c>
      <c r="I96" s="262">
        <f t="shared" ref="I96:N96" si="22">I93-I95</f>
        <v>2455.5625590580603</v>
      </c>
      <c r="J96" s="262">
        <f t="shared" si="22"/>
        <v>2976.1483114993907</v>
      </c>
      <c r="K96" s="262">
        <f t="shared" si="22"/>
        <v>2796.5798053234312</v>
      </c>
      <c r="L96" s="262">
        <f t="shared" si="22"/>
        <v>3279.6948712485118</v>
      </c>
      <c r="M96" s="262">
        <f t="shared" si="22"/>
        <v>4073.4420051565594</v>
      </c>
      <c r="N96" s="262">
        <f t="shared" si="22"/>
        <v>3686.5911381846672</v>
      </c>
      <c r="P96" s="2" t="s">
        <v>187</v>
      </c>
      <c r="AA96" s="84"/>
    </row>
    <row r="97" spans="2:27" s="2" customFormat="1" ht="15.6" x14ac:dyDescent="0.3">
      <c r="B97" s="340"/>
      <c r="C97" s="260" t="s">
        <v>169</v>
      </c>
      <c r="D97" s="261" t="s">
        <v>144</v>
      </c>
      <c r="E97" s="262">
        <f t="shared" ref="E97:N97" si="23">E96/(1+$C$3)^(E$63-2023)</f>
        <v>-717.92508274938393</v>
      </c>
      <c r="F97" s="262">
        <f t="shared" si="23"/>
        <v>-2080.8688812439691</v>
      </c>
      <c r="G97" s="262">
        <f t="shared" si="23"/>
        <v>-678.43940341576001</v>
      </c>
      <c r="H97" s="262">
        <f t="shared" si="23"/>
        <v>1305.6259058320959</v>
      </c>
      <c r="I97" s="262">
        <f t="shared" si="23"/>
        <v>1524.7111530248551</v>
      </c>
      <c r="J97" s="262">
        <f t="shared" si="23"/>
        <v>1679.9581338149742</v>
      </c>
      <c r="K97" s="262">
        <f t="shared" si="23"/>
        <v>1435.0876303817672</v>
      </c>
      <c r="L97" s="262">
        <f t="shared" si="23"/>
        <v>1530.0018622734415</v>
      </c>
      <c r="M97" s="262">
        <f t="shared" si="23"/>
        <v>1727.5370529653353</v>
      </c>
      <c r="N97" s="262">
        <f t="shared" si="23"/>
        <v>1421.3404741974771</v>
      </c>
      <c r="P97" s="4"/>
      <c r="Q97" s="78">
        <v>2023</v>
      </c>
      <c r="R97" s="78">
        <v>2024</v>
      </c>
      <c r="S97" s="78">
        <v>2025</v>
      </c>
      <c r="T97" s="78">
        <v>2026</v>
      </c>
      <c r="U97" s="78">
        <v>2027</v>
      </c>
      <c r="V97" s="78">
        <v>2028</v>
      </c>
      <c r="W97" s="78">
        <v>2029</v>
      </c>
      <c r="X97" s="78">
        <v>2030</v>
      </c>
      <c r="Y97" s="78">
        <v>2031</v>
      </c>
      <c r="Z97" s="78">
        <v>2032</v>
      </c>
      <c r="AA97" s="78">
        <v>2033</v>
      </c>
    </row>
    <row r="98" spans="2:27" s="2" customFormat="1" x14ac:dyDescent="0.3">
      <c r="B98" s="340"/>
      <c r="C98" s="260" t="s">
        <v>152</v>
      </c>
      <c r="D98" s="261" t="s">
        <v>144</v>
      </c>
      <c r="E98" s="262">
        <f>E97/('Model input'!$F$54/'Model input'!$D$54)</f>
        <v>-407.25335504621626</v>
      </c>
      <c r="F98" s="262">
        <f>F97/('Model input'!$F$54/'Model input'!$D$54)</f>
        <v>-1180.4028772089871</v>
      </c>
      <c r="G98" s="262">
        <f>G97/('Model input'!$F$54/'Model input'!$D$54)</f>
        <v>-384.85453409499047</v>
      </c>
      <c r="H98" s="262">
        <f>H97/('Model input'!$F$54/'Model input'!$D$54)</f>
        <v>740.63512107570602</v>
      </c>
      <c r="I98" s="262">
        <f>I97/('Model input'!$F$54/'Model input'!$D$54)</f>
        <v>864.91438656492585</v>
      </c>
      <c r="J98" s="262">
        <f>J97/('Model input'!$F$54/'Model input'!$D$54)</f>
        <v>952.9804749448499</v>
      </c>
      <c r="K98" s="262">
        <f>K97/('Model input'!$F$54/'Model input'!$D$54)</f>
        <v>814.07415105221924</v>
      </c>
      <c r="L98" s="262">
        <f>L97/('Model input'!$F$54/'Model input'!$D$54)</f>
        <v>867.91561767362225</v>
      </c>
      <c r="M98" s="262">
        <f>M97/('Model input'!$F$54/'Model input'!$D$54)</f>
        <v>979.97030287961411</v>
      </c>
      <c r="N98" s="262">
        <f>N97/('Model input'!$F$54/'Model input'!$D$54)</f>
        <v>806.27587848461928</v>
      </c>
      <c r="P98" s="79" t="s">
        <v>157</v>
      </c>
      <c r="Q98" s="79"/>
      <c r="R98" s="80">
        <f>E87*(1-$C$34)</f>
        <v>9.296875</v>
      </c>
      <c r="S98" s="80">
        <f t="shared" ref="S98:T98" si="24">F87*(1-$C$34)</f>
        <v>47.6</v>
      </c>
      <c r="T98" s="80">
        <f t="shared" si="24"/>
        <v>17.478124999999999</v>
      </c>
      <c r="U98" s="80">
        <f t="shared" ref="U98:AA98" si="25">H100</f>
        <v>0.5</v>
      </c>
      <c r="V98" s="80">
        <f t="shared" si="25"/>
        <v>0.46350000000000002</v>
      </c>
      <c r="W98" s="80">
        <f t="shared" si="25"/>
        <v>0.4296645</v>
      </c>
      <c r="X98" s="80">
        <f t="shared" si="25"/>
        <v>0.39829899150000003</v>
      </c>
      <c r="Y98" s="80">
        <f t="shared" si="25"/>
        <v>0.36922316512050002</v>
      </c>
      <c r="Z98" s="80">
        <f t="shared" si="25"/>
        <v>0.34226987406670351</v>
      </c>
      <c r="AA98" s="80">
        <f t="shared" si="25"/>
        <v>0.31728417325983416</v>
      </c>
    </row>
    <row r="99" spans="2:27" s="2" customFormat="1" x14ac:dyDescent="0.3">
      <c r="B99" s="340"/>
      <c r="C99" s="168" t="s">
        <v>154</v>
      </c>
      <c r="D99" s="184"/>
      <c r="E99" s="185">
        <f>E98*'Model input'!$C$60</f>
        <v>-7.8803524201442841</v>
      </c>
      <c r="F99" s="185">
        <f>F98*'Model input'!$C$60</f>
        <v>-22.840795673993899</v>
      </c>
      <c r="G99" s="185">
        <f>G98*'Model input'!$C$60</f>
        <v>-7.4469352347380653</v>
      </c>
      <c r="H99" s="185">
        <f>H98*'Model input'!$C$60</f>
        <v>14.331289592814912</v>
      </c>
      <c r="I99" s="185">
        <f>I98*'Model input'!$C$60</f>
        <v>16.736093380031313</v>
      </c>
      <c r="J99" s="185">
        <f>J98*'Model input'!$C$60</f>
        <v>18.440172190182846</v>
      </c>
      <c r="K99" s="185">
        <f>K98*'Model input'!$C$60</f>
        <v>15.752334822860442</v>
      </c>
      <c r="L99" s="185">
        <f>L98*'Model input'!$C$60</f>
        <v>16.794167201984589</v>
      </c>
      <c r="M99" s="185">
        <f>M98*'Model input'!$C$60</f>
        <v>18.96242536072053</v>
      </c>
      <c r="N99" s="185">
        <f>N98*'Model input'!$C$60</f>
        <v>15.601438248677383</v>
      </c>
      <c r="P99" s="79" t="s">
        <v>159</v>
      </c>
      <c r="Q99" s="79"/>
      <c r="R99" s="80">
        <f t="shared" ref="R99:AA106" si="26">Q98</f>
        <v>0</v>
      </c>
      <c r="S99" s="80">
        <f t="shared" si="26"/>
        <v>9.296875</v>
      </c>
      <c r="T99" s="80">
        <f t="shared" si="26"/>
        <v>47.6</v>
      </c>
      <c r="U99" s="80">
        <f t="shared" si="26"/>
        <v>17.478124999999999</v>
      </c>
      <c r="V99" s="80">
        <f t="shared" si="26"/>
        <v>0.5</v>
      </c>
      <c r="W99" s="80">
        <f t="shared" si="26"/>
        <v>0.46350000000000002</v>
      </c>
      <c r="X99" s="80">
        <f t="shared" si="26"/>
        <v>0.4296645</v>
      </c>
      <c r="Y99" s="80">
        <f t="shared" si="26"/>
        <v>0.39829899150000003</v>
      </c>
      <c r="Z99" s="80">
        <f t="shared" si="26"/>
        <v>0.36922316512050002</v>
      </c>
      <c r="AA99" s="80">
        <f t="shared" si="26"/>
        <v>0.34226987406670351</v>
      </c>
    </row>
    <row r="100" spans="2:27" s="2" customFormat="1" ht="15" thickBot="1" x14ac:dyDescent="0.35">
      <c r="B100" s="341" t="s">
        <v>188</v>
      </c>
      <c r="C100" s="220" t="s">
        <v>143</v>
      </c>
      <c r="D100" s="254" t="s">
        <v>144</v>
      </c>
      <c r="E100" s="255">
        <v>6.25E-2</v>
      </c>
      <c r="F100" s="255">
        <v>0.4</v>
      </c>
      <c r="G100" s="326">
        <v>0.5</v>
      </c>
      <c r="H100" s="254">
        <f>G100</f>
        <v>0.5</v>
      </c>
      <c r="I100" s="254">
        <f>H100-H100*'Model input'!$C$11</f>
        <v>0.46350000000000002</v>
      </c>
      <c r="J100" s="254">
        <f>I100-I100*'Model input'!$C$11</f>
        <v>0.4296645</v>
      </c>
      <c r="K100" s="254">
        <f>J100-J100*'Model input'!$C$11</f>
        <v>0.39829899150000003</v>
      </c>
      <c r="L100" s="254">
        <f>K100-K100*'Model input'!$C$11</f>
        <v>0.36922316512050002</v>
      </c>
      <c r="M100" s="254">
        <f>L100-L100*'Model input'!$C$11</f>
        <v>0.34226987406670351</v>
      </c>
      <c r="N100" s="254">
        <f>M100-M100*'Model input'!$C$11</f>
        <v>0.31728417325983416</v>
      </c>
      <c r="P100" s="79" t="s">
        <v>161</v>
      </c>
      <c r="Q100" s="79"/>
      <c r="R100" s="80">
        <f t="shared" si="26"/>
        <v>0</v>
      </c>
      <c r="S100" s="80">
        <f t="shared" si="26"/>
        <v>0</v>
      </c>
      <c r="T100" s="80">
        <f t="shared" si="26"/>
        <v>9.296875</v>
      </c>
      <c r="U100" s="80">
        <f t="shared" si="26"/>
        <v>47.6</v>
      </c>
      <c r="V100" s="80">
        <f t="shared" si="26"/>
        <v>17.478124999999999</v>
      </c>
      <c r="W100" s="80">
        <f t="shared" si="26"/>
        <v>0.5</v>
      </c>
      <c r="X100" s="80">
        <f t="shared" si="26"/>
        <v>0.46350000000000002</v>
      </c>
      <c r="Y100" s="80">
        <f t="shared" si="26"/>
        <v>0.4296645</v>
      </c>
      <c r="Z100" s="80">
        <f t="shared" si="26"/>
        <v>0.39829899150000003</v>
      </c>
      <c r="AA100" s="80">
        <f t="shared" si="26"/>
        <v>0.36922316512050002</v>
      </c>
    </row>
    <row r="101" spans="2:27" s="1" customFormat="1" ht="15" thickBot="1" x14ac:dyDescent="0.35">
      <c r="B101" s="341"/>
      <c r="C101" s="220" t="s">
        <v>145</v>
      </c>
      <c r="D101" s="254" t="s">
        <v>144</v>
      </c>
      <c r="E101" s="255">
        <f>1062/$C$55</f>
        <v>3.1235294117647059E-2</v>
      </c>
      <c r="F101" s="323">
        <f>6800/$C$55</f>
        <v>0.2</v>
      </c>
      <c r="G101" s="325">
        <f>8500/$C$55</f>
        <v>0.25</v>
      </c>
      <c r="H101" s="324">
        <f>G101</f>
        <v>0.25</v>
      </c>
      <c r="I101" s="254">
        <f>H101-H101*'Model input'!$C$11</f>
        <v>0.23175000000000001</v>
      </c>
      <c r="J101" s="254">
        <f>I101-I101*'Model input'!$C$11</f>
        <v>0.21483225</v>
      </c>
      <c r="K101" s="254">
        <f>J101-J101*'Model input'!$C$11</f>
        <v>0.19914949575000002</v>
      </c>
      <c r="L101" s="254">
        <f>K101-K101*'Model input'!$C$11</f>
        <v>0.18461158256025001</v>
      </c>
      <c r="M101" s="254">
        <f>L101-L101*'Model input'!$C$11</f>
        <v>0.17113493703335175</v>
      </c>
      <c r="N101" s="254">
        <f>M101-M101*'Model input'!$C$11</f>
        <v>0.15864208662991708</v>
      </c>
      <c r="O101" s="186"/>
      <c r="P101" s="79" t="s">
        <v>163</v>
      </c>
      <c r="Q101" s="79"/>
      <c r="R101" s="80">
        <f t="shared" si="26"/>
        <v>0</v>
      </c>
      <c r="S101" s="80">
        <f t="shared" si="26"/>
        <v>0</v>
      </c>
      <c r="T101" s="80">
        <f t="shared" si="26"/>
        <v>0</v>
      </c>
      <c r="U101" s="80">
        <f t="shared" si="26"/>
        <v>9.296875</v>
      </c>
      <c r="V101" s="80">
        <f t="shared" si="26"/>
        <v>47.6</v>
      </c>
      <c r="W101" s="80">
        <f t="shared" si="26"/>
        <v>17.478124999999999</v>
      </c>
      <c r="X101" s="80">
        <f t="shared" si="26"/>
        <v>0.5</v>
      </c>
      <c r="Y101" s="80">
        <f t="shared" si="26"/>
        <v>0.46350000000000002</v>
      </c>
      <c r="Z101" s="80">
        <f t="shared" si="26"/>
        <v>0.4296645</v>
      </c>
      <c r="AA101" s="80">
        <f t="shared" si="26"/>
        <v>0.39829899150000003</v>
      </c>
    </row>
    <row r="102" spans="2:27" s="1" customFormat="1" x14ac:dyDescent="0.3">
      <c r="B102" s="341"/>
      <c r="C102" s="220" t="s">
        <v>189</v>
      </c>
      <c r="D102" s="257" t="s">
        <v>144</v>
      </c>
      <c r="E102" s="257">
        <f>(E100*SROI!$C$27*$C$23*$C$24)+(E101*SROI!$C$26*$C$23*$C$24)</f>
        <v>2.7207995294117646</v>
      </c>
      <c r="F102" s="257">
        <f>(F100*SROI!$C$27*$C$23*$C$24)+(F101*SROI!$C$26*$C$23*$C$24)</f>
        <v>17.418240000000004</v>
      </c>
      <c r="G102" s="327">
        <f>(G100*SROI!$C$27*$C$23*$C$24)+(G101*SROI!$C$26*$C$23*$C$24)</f>
        <v>21.772800000000004</v>
      </c>
      <c r="H102" s="257">
        <f>(H100*SROI!$C$27*$C$23*$C$24)+(H101*SROI!$C$26*$C$23*$C$24)</f>
        <v>21.772800000000004</v>
      </c>
      <c r="I102" s="257">
        <f>(I100*SROI!$C$27*$C$23*$C$24)+(I101*SROI!$C$26*$C$23*$C$24)</f>
        <v>20.183385600000001</v>
      </c>
      <c r="J102" s="257">
        <f>(J100*SROI!$C$27*$C$23*$C$24)+(J101*SROI!$C$26*$C$23*$C$24)</f>
        <v>18.709998451200001</v>
      </c>
      <c r="K102" s="257">
        <f>(K100*SROI!$C$27*$C$23*$C$24)+(K101*SROI!$C$26*$C$23*$C$24)</f>
        <v>17.344168564262404</v>
      </c>
      <c r="L102" s="257">
        <f>(L100*SROI!$C$27*$C$23*$C$24)+(L101*SROI!$C$26*$C$23*$C$24)</f>
        <v>16.078044259071248</v>
      </c>
      <c r="M102" s="257">
        <f>(M100*SROI!$C$27*$C$23*$C$24)+(M101*SROI!$C$26*$C$23*$C$24)</f>
        <v>14.904347028159044</v>
      </c>
      <c r="N102" s="257">
        <f>(N100*SROI!$C$27*$C$23*$C$24)+(N101*SROI!$C$26*$C$23*$C$24)</f>
        <v>13.816329695103436</v>
      </c>
      <c r="O102" s="186"/>
      <c r="P102" s="79" t="s">
        <v>165</v>
      </c>
      <c r="Q102" s="79"/>
      <c r="R102" s="80">
        <f t="shared" si="26"/>
        <v>0</v>
      </c>
      <c r="S102" s="80">
        <f t="shared" si="26"/>
        <v>0</v>
      </c>
      <c r="T102" s="80">
        <f t="shared" si="26"/>
        <v>0</v>
      </c>
      <c r="U102" s="80">
        <f t="shared" si="26"/>
        <v>0</v>
      </c>
      <c r="V102" s="80">
        <f t="shared" si="26"/>
        <v>9.296875</v>
      </c>
      <c r="W102" s="80">
        <f t="shared" si="26"/>
        <v>47.6</v>
      </c>
      <c r="X102" s="80">
        <f t="shared" si="26"/>
        <v>17.478124999999999</v>
      </c>
      <c r="Y102" s="80">
        <f t="shared" si="26"/>
        <v>0.5</v>
      </c>
      <c r="Z102" s="80">
        <f t="shared" si="26"/>
        <v>0.46350000000000002</v>
      </c>
      <c r="AA102" s="80">
        <f t="shared" si="26"/>
        <v>0.4296645</v>
      </c>
    </row>
    <row r="103" spans="2:27" s="1" customFormat="1" x14ac:dyDescent="0.3">
      <c r="B103" s="341"/>
      <c r="C103" s="220" t="s">
        <v>190</v>
      </c>
      <c r="D103" s="257" t="s">
        <v>144</v>
      </c>
      <c r="E103" s="258">
        <f t="shared" ref="E103:N103" si="27">E102*$C$25</f>
        <v>6.8019988235294111</v>
      </c>
      <c r="F103" s="258">
        <f t="shared" si="27"/>
        <v>43.545600000000007</v>
      </c>
      <c r="G103" s="258">
        <f t="shared" si="27"/>
        <v>54.432000000000009</v>
      </c>
      <c r="H103" s="258">
        <f t="shared" si="27"/>
        <v>54.432000000000009</v>
      </c>
      <c r="I103" s="258">
        <f t="shared" si="27"/>
        <v>50.458464000000006</v>
      </c>
      <c r="J103" s="258">
        <f t="shared" si="27"/>
        <v>46.774996127999998</v>
      </c>
      <c r="K103" s="258">
        <f t="shared" si="27"/>
        <v>43.360421410656009</v>
      </c>
      <c r="L103" s="258">
        <f t="shared" si="27"/>
        <v>40.195110647678121</v>
      </c>
      <c r="M103" s="258">
        <f t="shared" si="27"/>
        <v>37.260867570397608</v>
      </c>
      <c r="N103" s="258">
        <f t="shared" si="27"/>
        <v>34.540824237758592</v>
      </c>
      <c r="O103" s="186"/>
      <c r="P103" s="79" t="s">
        <v>167</v>
      </c>
      <c r="Q103" s="79"/>
      <c r="R103" s="80">
        <f t="shared" si="26"/>
        <v>0</v>
      </c>
      <c r="S103" s="80">
        <f t="shared" si="26"/>
        <v>0</v>
      </c>
      <c r="T103" s="80">
        <f t="shared" si="26"/>
        <v>0</v>
      </c>
      <c r="U103" s="80">
        <f t="shared" si="26"/>
        <v>0</v>
      </c>
      <c r="V103" s="80">
        <f t="shared" si="26"/>
        <v>0</v>
      </c>
      <c r="W103" s="80">
        <f t="shared" si="26"/>
        <v>9.296875</v>
      </c>
      <c r="X103" s="80">
        <f t="shared" si="26"/>
        <v>47.6</v>
      </c>
      <c r="Y103" s="80">
        <f t="shared" si="26"/>
        <v>17.478124999999999</v>
      </c>
      <c r="Z103" s="80">
        <f t="shared" si="26"/>
        <v>0.5</v>
      </c>
      <c r="AA103" s="80">
        <f t="shared" si="26"/>
        <v>0.46350000000000002</v>
      </c>
    </row>
    <row r="104" spans="2:27" s="1" customFormat="1" x14ac:dyDescent="0.3">
      <c r="B104" s="341"/>
      <c r="C104" s="227" t="s">
        <v>191</v>
      </c>
      <c r="D104" s="257" t="s">
        <v>144</v>
      </c>
      <c r="E104" s="259">
        <f>E102*'Model input'!F47</f>
        <v>89.786384470588231</v>
      </c>
      <c r="F104" s="259">
        <f>F102*'Model input'!H47</f>
        <v>429.0673176553687</v>
      </c>
      <c r="G104" s="259">
        <f>G102*'Model input'!I47</f>
        <v>604.66662551277398</v>
      </c>
      <c r="H104" s="259">
        <f>H102*'Model input'!J47</f>
        <v>634.39312111138725</v>
      </c>
      <c r="I104" s="259">
        <f>I102*'Model input'!K47</f>
        <v>588.08242327025584</v>
      </c>
      <c r="J104" s="259">
        <f>J102*'Model input'!L47</f>
        <v>545.15240637152715</v>
      </c>
      <c r="K104" s="259">
        <f>K102*'Model input'!M47</f>
        <v>505.35628070640581</v>
      </c>
      <c r="L104" s="259">
        <f>L102*'Model input'!N47</f>
        <v>468.46527221483819</v>
      </c>
      <c r="M104" s="259">
        <f>M102*'Model input'!O47</f>
        <v>434.26730734315493</v>
      </c>
      <c r="N104" s="259">
        <f>N102*'Model input'!P47</f>
        <v>402.56579390710465</v>
      </c>
      <c r="O104" s="186"/>
      <c r="P104" s="79" t="s">
        <v>168</v>
      </c>
      <c r="Q104" s="79"/>
      <c r="R104" s="80">
        <f t="shared" si="26"/>
        <v>0</v>
      </c>
      <c r="S104" s="80">
        <f t="shared" si="26"/>
        <v>0</v>
      </c>
      <c r="T104" s="80">
        <f t="shared" si="26"/>
        <v>0</v>
      </c>
      <c r="U104" s="80">
        <f t="shared" si="26"/>
        <v>0</v>
      </c>
      <c r="V104" s="80">
        <f t="shared" si="26"/>
        <v>0</v>
      </c>
      <c r="W104" s="80">
        <f t="shared" si="26"/>
        <v>0</v>
      </c>
      <c r="X104" s="80">
        <f t="shared" si="26"/>
        <v>9.296875</v>
      </c>
      <c r="Y104" s="80">
        <f t="shared" si="26"/>
        <v>47.6</v>
      </c>
      <c r="Z104" s="80">
        <f t="shared" si="26"/>
        <v>17.478124999999999</v>
      </c>
      <c r="AA104" s="80">
        <f t="shared" si="26"/>
        <v>0.5</v>
      </c>
    </row>
    <row r="105" spans="2:27" s="1" customFormat="1" x14ac:dyDescent="0.3">
      <c r="B105" s="341"/>
      <c r="C105" s="260" t="s">
        <v>192</v>
      </c>
      <c r="D105" s="261" t="s">
        <v>144</v>
      </c>
      <c r="E105" s="262">
        <f>E104-E103</f>
        <v>82.984385647058815</v>
      </c>
      <c r="F105" s="262">
        <f t="shared" ref="F105:M105" si="28">F104-F103</f>
        <v>385.52171765536866</v>
      </c>
      <c r="G105" s="262">
        <f t="shared" si="28"/>
        <v>550.23462551277396</v>
      </c>
      <c r="H105" s="262">
        <f t="shared" si="28"/>
        <v>579.96112111138723</v>
      </c>
      <c r="I105" s="262">
        <f t="shared" si="28"/>
        <v>537.6239592702558</v>
      </c>
      <c r="J105" s="262">
        <f t="shared" si="28"/>
        <v>498.37741024352715</v>
      </c>
      <c r="K105" s="262">
        <f t="shared" si="28"/>
        <v>461.99585929574982</v>
      </c>
      <c r="L105" s="262">
        <f t="shared" si="28"/>
        <v>428.27016156716007</v>
      </c>
      <c r="M105" s="262">
        <f t="shared" si="28"/>
        <v>397.00643977275729</v>
      </c>
      <c r="N105" s="262">
        <f>N104-N103</f>
        <v>368.02496966934604</v>
      </c>
      <c r="O105" s="186"/>
      <c r="P105" s="79" t="s">
        <v>170</v>
      </c>
      <c r="Q105" s="79"/>
      <c r="R105" s="80">
        <f t="shared" si="26"/>
        <v>0</v>
      </c>
      <c r="S105" s="80">
        <f t="shared" si="26"/>
        <v>0</v>
      </c>
      <c r="T105" s="80">
        <f t="shared" si="26"/>
        <v>0</v>
      </c>
      <c r="U105" s="80">
        <f t="shared" si="26"/>
        <v>0</v>
      </c>
      <c r="V105" s="80">
        <f t="shared" si="26"/>
        <v>0</v>
      </c>
      <c r="W105" s="80">
        <f t="shared" si="26"/>
        <v>0</v>
      </c>
      <c r="X105" s="80">
        <f t="shared" si="26"/>
        <v>0</v>
      </c>
      <c r="Y105" s="80">
        <f t="shared" si="26"/>
        <v>9.296875</v>
      </c>
      <c r="Z105" s="80">
        <f t="shared" si="26"/>
        <v>47.6</v>
      </c>
      <c r="AA105" s="80">
        <f t="shared" si="26"/>
        <v>17.478124999999999</v>
      </c>
    </row>
    <row r="106" spans="2:27" s="1" customFormat="1" x14ac:dyDescent="0.3">
      <c r="B106" s="341"/>
      <c r="C106" s="263" t="s">
        <v>151</v>
      </c>
      <c r="D106" s="261" t="s">
        <v>144</v>
      </c>
      <c r="E106" s="262">
        <f t="shared" ref="E106:N106" si="29">E105/(1+$C$3)^(E63-2023)</f>
        <v>75.440350588235276</v>
      </c>
      <c r="F106" s="262">
        <f t="shared" si="29"/>
        <v>318.61298979782526</v>
      </c>
      <c r="G106" s="262">
        <f t="shared" si="29"/>
        <v>413.39941811628387</v>
      </c>
      <c r="H106" s="262">
        <f t="shared" si="29"/>
        <v>396.12124930768874</v>
      </c>
      <c r="I106" s="262">
        <f t="shared" si="29"/>
        <v>333.82218009838846</v>
      </c>
      <c r="J106" s="262">
        <f t="shared" si="29"/>
        <v>281.32105541018734</v>
      </c>
      <c r="K106" s="262">
        <f t="shared" si="29"/>
        <v>237.07692578658521</v>
      </c>
      <c r="L106" s="262">
        <f t="shared" si="29"/>
        <v>199.79119109469499</v>
      </c>
      <c r="M106" s="262">
        <f t="shared" si="29"/>
        <v>168.36948558616564</v>
      </c>
      <c r="N106" s="262">
        <f t="shared" si="29"/>
        <v>141.88955739852321</v>
      </c>
      <c r="O106" s="186"/>
      <c r="P106" s="79" t="s">
        <v>171</v>
      </c>
      <c r="Q106" s="79"/>
      <c r="R106" s="80">
        <f t="shared" si="26"/>
        <v>0</v>
      </c>
      <c r="S106" s="80">
        <f t="shared" si="26"/>
        <v>0</v>
      </c>
      <c r="T106" s="80">
        <f t="shared" si="26"/>
        <v>0</v>
      </c>
      <c r="U106" s="80">
        <f t="shared" si="26"/>
        <v>0</v>
      </c>
      <c r="V106" s="80">
        <f t="shared" si="26"/>
        <v>0</v>
      </c>
      <c r="W106" s="80">
        <f t="shared" si="26"/>
        <v>0</v>
      </c>
      <c r="X106" s="80">
        <f t="shared" si="26"/>
        <v>0</v>
      </c>
      <c r="Y106" s="80">
        <f t="shared" si="26"/>
        <v>0</v>
      </c>
      <c r="Z106" s="80">
        <f t="shared" si="26"/>
        <v>9.296875</v>
      </c>
      <c r="AA106" s="80">
        <f t="shared" si="26"/>
        <v>47.6</v>
      </c>
    </row>
    <row r="107" spans="2:27" s="1" customFormat="1" x14ac:dyDescent="0.3">
      <c r="B107" s="341"/>
      <c r="C107" s="260" t="s">
        <v>152</v>
      </c>
      <c r="D107" s="261" t="s">
        <v>144</v>
      </c>
      <c r="E107" s="262">
        <f>E106/('Model input'!$F$54/'Model input'!$D$54)</f>
        <v>42.79462665555959</v>
      </c>
      <c r="F107" s="262">
        <f>F106/('Model input'!$F$54/'Model input'!$D$54)</f>
        <v>180.73781258561488</v>
      </c>
      <c r="G107" s="262">
        <f>G106/('Model input'!$F$54/'Model input'!$D$54)</f>
        <v>234.50678078729464</v>
      </c>
      <c r="H107" s="262">
        <f>H106/('Model input'!$F$54/'Model input'!$D$54)</f>
        <v>224.70549039442002</v>
      </c>
      <c r="I107" s="262">
        <f>I106/('Model input'!$F$54/'Model input'!$D$54)</f>
        <v>189.3654450869339</v>
      </c>
      <c r="J107" s="262">
        <f>J106/('Model input'!$F$54/'Model input'!$D$54)</f>
        <v>159.5834250868979</v>
      </c>
      <c r="K107" s="262">
        <f>K106/('Model input'!$F$54/'Model input'!$D$54)</f>
        <v>134.48530459595855</v>
      </c>
      <c r="L107" s="262">
        <f>L106/('Model input'!$F$54/'Model input'!$D$54)</f>
        <v>113.33443396404871</v>
      </c>
      <c r="M107" s="262">
        <f>M106/('Model input'!$F$54/'Model input'!$D$54)</f>
        <v>95.51001844061193</v>
      </c>
      <c r="N107" s="262">
        <f>N106/('Model input'!$F$54/'Model input'!$D$54)</f>
        <v>80.488897358588403</v>
      </c>
      <c r="O107" s="186"/>
      <c r="P107" s="81" t="s">
        <v>172</v>
      </c>
      <c r="Q107" s="81"/>
      <c r="R107" s="82">
        <f>R98*'Model input'!$C$36+R99*'Model input'!$D$36+R100*'Model input'!$E$36+R101*'Model input'!$F$36+R102*'Model input'!$G$36+R103*'Model input'!$H$36+R104*'Model input'!$I$36+R105*'Model input'!$J$36+R106*'Model input'!$K$36</f>
        <v>0</v>
      </c>
      <c r="S107" s="82">
        <f>S98*'Model input'!$C$36+S99*'Model input'!$D$36+S100*'Model input'!$E$36+S101*'Model input'!$F$36+S102*'Model input'!$G$36+S103*'Model input'!$H$36+S104*'Model input'!$I$36+S105*'Model input'!$J$36+S106*'Model input'!$K$36</f>
        <v>0</v>
      </c>
      <c r="T107" s="82">
        <f>T98*'Model input'!$C$36+T99*'Model input'!$D$36+T100*'Model input'!$E$36+T101*'Model input'!$F$36+T102*'Model input'!$G$36+T103*'Model input'!$H$36+T104*'Model input'!$I$36+T105*'Model input'!$J$36+T106*'Model input'!$K$36</f>
        <v>2.5566406249999991</v>
      </c>
      <c r="U107" s="82">
        <f>U98*'Model input'!$C$36+U99*'Model input'!$D$36+U100*'Model input'!$E$36+U101*'Model input'!$F$36+U102*'Model input'!$G$36+U103*'Model input'!$H$36+U104*'Model input'!$I$36+U105*'Model input'!$J$36+U106*'Model input'!$K$36</f>
        <v>15.181796874999996</v>
      </c>
      <c r="V107" s="82">
        <f>V98*'Model input'!$C$36+V99*'Model input'!$D$36+V100*'Model input'!$E$36+V101*'Model input'!$F$36+V102*'Model input'!$G$36+V103*'Model input'!$H$36+V104*'Model input'!$I$36+V105*'Model input'!$J$36+V106*'Model input'!$K$36</f>
        <v>18.537968749999997</v>
      </c>
      <c r="W107" s="82">
        <f>W98*'Model input'!$C$36+W99*'Model input'!$D$36+W100*'Model input'!$E$36+W101*'Model input'!$F$36+W102*'Model input'!$G$36+W103*'Model input'!$H$36+W104*'Model input'!$I$36+W105*'Model input'!$J$36+W106*'Model input'!$K$36</f>
        <v>21.864296874999997</v>
      </c>
      <c r="X107" s="82">
        <f>X98*'Model input'!$C$36+X99*'Model input'!$D$36+X100*'Model input'!$E$36+X101*'Model input'!$F$36+X102*'Model input'!$G$36+X103*'Model input'!$H$36+X104*'Model input'!$I$36+X105*'Model input'!$J$36+X106*'Model input'!$K$36</f>
        <v>20.841837499999997</v>
      </c>
      <c r="Y107" s="82">
        <f>Y98*'Model input'!$C$36+Y99*'Model input'!$D$36+Y100*'Model input'!$E$36+Y101*'Model input'!$F$36+Y102*'Model input'!$G$36+Y103*'Model input'!$H$36+Y104*'Model input'!$I$36+Y105*'Model input'!$J$36+Y106*'Model input'!$K$36</f>
        <v>23.943226487499999</v>
      </c>
      <c r="Z107" s="82">
        <f>Z98*'Model input'!$C$36+Z99*'Model input'!$D$36+Z100*'Model input'!$E$36+Z101*'Model input'!$F$36+Z102*'Model input'!$G$36+Z103*'Model input'!$H$36+Z104*'Model input'!$I$36+Z105*'Model input'!$J$36+Z106*'Model input'!$K$36</f>
        <v>28.920984860162495</v>
      </c>
      <c r="AA107" s="82">
        <f>AA98*'Model input'!$C$36+AA99*'Model input'!$D$36+AA100*'Model input'!$E$36+AA101*'Model input'!$F$36+AA102*'Model input'!$G$36+AA103*'Model input'!$H$36+AA104*'Model input'!$I$36+AA105*'Model input'!$J$36+AA106*'Model input'!$K$36</f>
        <v>26.640419605995632</v>
      </c>
    </row>
    <row r="108" spans="2:27" s="1" customFormat="1" x14ac:dyDescent="0.3">
      <c r="B108" s="341"/>
      <c r="C108" s="168" t="s">
        <v>154</v>
      </c>
      <c r="D108" s="184" t="s">
        <v>144</v>
      </c>
      <c r="E108" s="185">
        <f>E107*'Model input'!$C$60</f>
        <v>0.828076025785078</v>
      </c>
      <c r="F108" s="185">
        <f>F107*'Model input'!$C$60</f>
        <v>3.4972766735316476</v>
      </c>
      <c r="G108" s="185">
        <f>G107*'Model input'!$C$60</f>
        <v>4.5377062082341508</v>
      </c>
      <c r="H108" s="185">
        <f>H107*'Model input'!$C$60</f>
        <v>4.348051239132027</v>
      </c>
      <c r="I108" s="185">
        <f>I107*'Model input'!$C$60</f>
        <v>3.6642213624321709</v>
      </c>
      <c r="J108" s="185">
        <f>J107*'Model input'!$C$60</f>
        <v>3.0879392754314745</v>
      </c>
      <c r="K108" s="185">
        <f>K107*'Model input'!$C$60</f>
        <v>2.6022906439317981</v>
      </c>
      <c r="L108" s="185">
        <f>L107*'Model input'!$C$60</f>
        <v>2.1930212972043424</v>
      </c>
      <c r="M108" s="185">
        <f>M107*'Model input'!$C$60</f>
        <v>1.8481188568258407</v>
      </c>
      <c r="N108" s="185">
        <f>N107*'Model input'!$C$60</f>
        <v>1.5574601638886856</v>
      </c>
      <c r="O108" s="186"/>
      <c r="P108" s="186"/>
      <c r="Q108" s="186"/>
      <c r="R108" s="186"/>
      <c r="S108" s="186"/>
      <c r="T108" s="186"/>
      <c r="U108" s="186"/>
      <c r="V108" s="186"/>
      <c r="W108" s="186"/>
      <c r="X108" s="186"/>
      <c r="Y108" s="186"/>
      <c r="Z108" s="186"/>
      <c r="AA108" s="256"/>
    </row>
    <row r="109" spans="2:27" s="1" customFormat="1" x14ac:dyDescent="0.3">
      <c r="B109" s="341" t="s">
        <v>193</v>
      </c>
      <c r="C109" s="88" t="s">
        <v>194</v>
      </c>
      <c r="D109" s="154" t="s">
        <v>144</v>
      </c>
      <c r="E109" s="309">
        <f>2183</f>
        <v>2183</v>
      </c>
      <c r="F109" s="309">
        <v>5300</v>
      </c>
      <c r="G109" s="310">
        <v>5300</v>
      </c>
      <c r="H109" s="310">
        <v>5300</v>
      </c>
      <c r="I109" s="310">
        <v>5300</v>
      </c>
      <c r="J109" s="310">
        <v>5300</v>
      </c>
      <c r="K109" s="310">
        <v>5300</v>
      </c>
      <c r="L109" s="310">
        <v>5300</v>
      </c>
      <c r="M109" s="310">
        <v>5300</v>
      </c>
      <c r="N109" s="310">
        <v>5300</v>
      </c>
      <c r="O109" s="186"/>
      <c r="P109"/>
      <c r="Q109" s="186"/>
      <c r="R109" s="186"/>
      <c r="S109" s="186"/>
      <c r="T109" s="186"/>
      <c r="U109" s="186"/>
      <c r="V109" s="186"/>
      <c r="W109" s="186"/>
      <c r="X109" s="186"/>
      <c r="Y109" s="186"/>
      <c r="Z109" s="186"/>
      <c r="AA109" s="256"/>
    </row>
    <row r="110" spans="2:27" s="1" customFormat="1" x14ac:dyDescent="0.3">
      <c r="B110" s="341"/>
      <c r="C110" s="88" t="s">
        <v>195</v>
      </c>
      <c r="D110" s="8" t="s">
        <v>144</v>
      </c>
      <c r="E110" s="311">
        <v>0.01</v>
      </c>
      <c r="F110" s="311">
        <f t="shared" ref="F110:N110" si="30">F109/$C$55</f>
        <v>0.15588235294117647</v>
      </c>
      <c r="G110" s="312">
        <f t="shared" si="30"/>
        <v>0.15588235294117647</v>
      </c>
      <c r="H110" s="312">
        <f t="shared" si="30"/>
        <v>0.15588235294117647</v>
      </c>
      <c r="I110" s="312">
        <f t="shared" si="30"/>
        <v>0.15588235294117647</v>
      </c>
      <c r="J110" s="312">
        <f t="shared" si="30"/>
        <v>0.15588235294117647</v>
      </c>
      <c r="K110" s="312">
        <f t="shared" si="30"/>
        <v>0.15588235294117647</v>
      </c>
      <c r="L110" s="312">
        <f t="shared" si="30"/>
        <v>0.15588235294117647</v>
      </c>
      <c r="M110" s="312">
        <f t="shared" si="30"/>
        <v>0.15588235294117647</v>
      </c>
      <c r="N110" s="312">
        <f t="shared" si="30"/>
        <v>0.15588235294117647</v>
      </c>
      <c r="O110" s="186"/>
      <c r="P110"/>
      <c r="Q110" s="186"/>
      <c r="R110" s="186"/>
      <c r="S110" s="186"/>
      <c r="T110" s="186"/>
      <c r="U110" s="186"/>
      <c r="V110" s="186"/>
      <c r="W110" s="186"/>
      <c r="X110" s="186"/>
      <c r="Y110" s="186"/>
      <c r="Z110" s="186"/>
      <c r="AA110" s="256"/>
    </row>
    <row r="111" spans="2:27" s="1" customFormat="1" x14ac:dyDescent="0.3">
      <c r="B111" s="341"/>
      <c r="C111" s="88" t="s">
        <v>196</v>
      </c>
      <c r="D111" s="9" t="s">
        <v>144</v>
      </c>
      <c r="E111" s="313">
        <f t="shared" ref="E111:N111" si="31">E109*$C$38*12</f>
        <v>1047840</v>
      </c>
      <c r="F111" s="313">
        <f t="shared" si="31"/>
        <v>2544000</v>
      </c>
      <c r="G111" s="313">
        <f t="shared" si="31"/>
        <v>2544000</v>
      </c>
      <c r="H111" s="313">
        <f t="shared" si="31"/>
        <v>2544000</v>
      </c>
      <c r="I111" s="313">
        <f t="shared" si="31"/>
        <v>2544000</v>
      </c>
      <c r="J111" s="313">
        <f t="shared" si="31"/>
        <v>2544000</v>
      </c>
      <c r="K111" s="313">
        <f t="shared" si="31"/>
        <v>2544000</v>
      </c>
      <c r="L111" s="313">
        <f t="shared" si="31"/>
        <v>2544000</v>
      </c>
      <c r="M111" s="313">
        <f t="shared" si="31"/>
        <v>2544000</v>
      </c>
      <c r="N111" s="313">
        <f t="shared" si="31"/>
        <v>2544000</v>
      </c>
      <c r="O111" s="186"/>
      <c r="P111"/>
      <c r="Q111" s="186"/>
      <c r="R111" s="186"/>
      <c r="S111" s="186"/>
      <c r="T111" s="186"/>
      <c r="U111" s="186"/>
      <c r="V111" s="186"/>
      <c r="W111" s="186"/>
      <c r="X111" s="186"/>
      <c r="Y111" s="186"/>
      <c r="Z111" s="186"/>
      <c r="AA111" s="256"/>
    </row>
    <row r="112" spans="2:27" s="1" customFormat="1" x14ac:dyDescent="0.3">
      <c r="B112" s="341"/>
      <c r="C112" s="88" t="s">
        <v>197</v>
      </c>
      <c r="D112" s="9" t="s">
        <v>144</v>
      </c>
      <c r="E112" s="314">
        <f>4000000/('Model input'!G54/'Model input'!F54)</f>
        <v>3208081.2019879506</v>
      </c>
      <c r="F112" s="314">
        <f>4000000/('Model input'!H54/'Model input'!F54)</f>
        <v>2592970.4037737604</v>
      </c>
      <c r="G112" s="313">
        <v>0</v>
      </c>
      <c r="H112" s="313">
        <v>0</v>
      </c>
      <c r="I112" s="313">
        <v>0</v>
      </c>
      <c r="J112" s="313">
        <v>0</v>
      </c>
      <c r="K112" s="313">
        <v>0</v>
      </c>
      <c r="L112" s="313">
        <v>0</v>
      </c>
      <c r="M112" s="313">
        <v>0</v>
      </c>
      <c r="N112" s="313">
        <v>0</v>
      </c>
      <c r="O112" s="186"/>
      <c r="P112"/>
      <c r="Q112" s="186"/>
      <c r="R112" s="186"/>
      <c r="S112" s="186"/>
      <c r="T112" s="186"/>
      <c r="U112" s="186"/>
      <c r="V112" s="186"/>
      <c r="W112" s="186"/>
      <c r="X112" s="186"/>
      <c r="Y112" s="186"/>
      <c r="Z112" s="186"/>
      <c r="AA112" s="256"/>
    </row>
    <row r="113" spans="1:27" s="1" customFormat="1" x14ac:dyDescent="0.3">
      <c r="A113" s="186"/>
      <c r="B113" s="341"/>
      <c r="C113" s="115" t="s">
        <v>198</v>
      </c>
      <c r="D113" s="9" t="s">
        <v>144</v>
      </c>
      <c r="E113" s="313">
        <f>SUM(E111:E112)</f>
        <v>4255921.2019879501</v>
      </c>
      <c r="F113" s="313">
        <f t="shared" ref="F113:N113" si="32">(F111+F112+E116+E113*(1-$C$42))*$C$44</f>
        <v>9238610.786540933</v>
      </c>
      <c r="G113" s="313">
        <f t="shared" si="32"/>
        <v>12738175.97072353</v>
      </c>
      <c r="H113" s="313">
        <f t="shared" si="32"/>
        <v>16647890.194492327</v>
      </c>
      <c r="I113" s="313">
        <f t="shared" si="32"/>
        <v>21015822.925286826</v>
      </c>
      <c r="J113" s="313">
        <f t="shared" si="32"/>
        <v>25895677.372130439</v>
      </c>
      <c r="K113" s="313">
        <f t="shared" si="32"/>
        <v>31347450.760144126</v>
      </c>
      <c r="L113" s="313">
        <f t="shared" si="32"/>
        <v>37438171.989233017</v>
      </c>
      <c r="M113" s="313">
        <f t="shared" si="32"/>
        <v>44242725.746371128</v>
      </c>
      <c r="N113" s="313">
        <f t="shared" si="32"/>
        <v>51844773.203845821</v>
      </c>
      <c r="O113" s="186"/>
      <c r="P113"/>
      <c r="Q113" s="186"/>
      <c r="R113" s="186"/>
      <c r="S113" s="186"/>
      <c r="T113" s="186"/>
      <c r="U113" s="186"/>
      <c r="V113" s="186"/>
      <c r="W113" s="186"/>
      <c r="X113" s="186"/>
      <c r="Y113" s="186"/>
      <c r="Z113" s="186"/>
      <c r="AA113" s="256"/>
    </row>
    <row r="114" spans="1:27" s="1" customFormat="1" x14ac:dyDescent="0.3">
      <c r="A114" s="186"/>
      <c r="B114" s="341"/>
      <c r="C114" s="88" t="s">
        <v>199</v>
      </c>
      <c r="D114" s="9" t="s">
        <v>144</v>
      </c>
      <c r="E114" s="313">
        <f>E113*$C$45</f>
        <v>1489572.4206957824</v>
      </c>
      <c r="F114" s="313">
        <f t="shared" ref="F114:N114" si="33">F113*$C$45*(12/$C$41)</f>
        <v>6467027.5505786529</v>
      </c>
      <c r="G114" s="313">
        <f t="shared" si="33"/>
        <v>8916723.1795064714</v>
      </c>
      <c r="H114" s="313">
        <f t="shared" si="33"/>
        <v>11653523.136144629</v>
      </c>
      <c r="I114" s="313">
        <f t="shared" si="33"/>
        <v>14711076.047700778</v>
      </c>
      <c r="J114" s="313">
        <f t="shared" si="33"/>
        <v>18126974.160491306</v>
      </c>
      <c r="K114" s="313">
        <f t="shared" si="33"/>
        <v>21943215.532100886</v>
      </c>
      <c r="L114" s="313">
        <f t="shared" si="33"/>
        <v>26206720.39246311</v>
      </c>
      <c r="M114" s="313">
        <f t="shared" si="33"/>
        <v>30969908.022459786</v>
      </c>
      <c r="N114" s="313">
        <f t="shared" si="33"/>
        <v>36291341.242692076</v>
      </c>
      <c r="O114" s="186"/>
      <c r="P114"/>
      <c r="Q114" s="186"/>
      <c r="R114" s="186"/>
      <c r="S114" s="186"/>
      <c r="T114" s="186"/>
      <c r="U114" s="186"/>
      <c r="V114" s="186"/>
      <c r="W114" s="186"/>
      <c r="X114" s="186"/>
      <c r="Y114" s="186"/>
      <c r="Z114" s="186"/>
      <c r="AA114" s="256"/>
    </row>
    <row r="115" spans="1:27" s="1" customFormat="1" x14ac:dyDescent="0.3">
      <c r="A115" s="186"/>
      <c r="B115" s="341"/>
      <c r="C115" s="88" t="s">
        <v>200</v>
      </c>
      <c r="D115" s="10" t="s">
        <v>144</v>
      </c>
      <c r="E115" s="315">
        <f t="shared" ref="E115:N115" si="34">E114/$C$39</f>
        <v>517.21264607492446</v>
      </c>
      <c r="F115" s="315">
        <f t="shared" si="34"/>
        <v>2245.4956772842543</v>
      </c>
      <c r="G115" s="315">
        <f t="shared" si="34"/>
        <v>3096.0844373286359</v>
      </c>
      <c r="H115" s="315">
        <f t="shared" si="34"/>
        <v>4046.3622000502182</v>
      </c>
      <c r="I115" s="315">
        <f t="shared" si="34"/>
        <v>5108.0125165627696</v>
      </c>
      <c r="J115" s="315">
        <f t="shared" si="34"/>
        <v>6294.0882501705928</v>
      </c>
      <c r="K115" s="315">
        <f t="shared" si="34"/>
        <v>7619.1720597572521</v>
      </c>
      <c r="L115" s="315">
        <f t="shared" si="34"/>
        <v>9099.5556918274688</v>
      </c>
      <c r="M115" s="315">
        <f t="shared" si="34"/>
        <v>10753.440285576315</v>
      </c>
      <c r="N115" s="315">
        <f t="shared" si="34"/>
        <v>12601.160153712526</v>
      </c>
      <c r="O115" s="186"/>
      <c r="P115"/>
      <c r="Q115" s="186"/>
      <c r="R115" s="186"/>
      <c r="S115" s="186"/>
      <c r="T115" s="186"/>
      <c r="U115" s="186"/>
      <c r="V115" s="186"/>
      <c r="W115" s="186"/>
      <c r="X115" s="186"/>
      <c r="Y115" s="186"/>
      <c r="Z115" s="186"/>
      <c r="AA115" s="256"/>
    </row>
    <row r="116" spans="1:27" s="1" customFormat="1" x14ac:dyDescent="0.3">
      <c r="A116" s="186"/>
      <c r="B116" s="341"/>
      <c r="C116" s="88" t="s">
        <v>201</v>
      </c>
      <c r="D116" s="9" t="s">
        <v>144</v>
      </c>
      <c r="E116" s="313">
        <f>E113*(100%-$C$42)*$C$40</f>
        <v>417080.27779481909</v>
      </c>
      <c r="F116" s="313">
        <f t="shared" ref="F116:N116" si="35">F113*(100%-$C$42)*$C$40*(12/$C$41)</f>
        <v>1810767.714162023</v>
      </c>
      <c r="G116" s="313">
        <f t="shared" si="35"/>
        <v>2496682.4902618118</v>
      </c>
      <c r="H116" s="313">
        <f t="shared" si="35"/>
        <v>3262986.4781204965</v>
      </c>
      <c r="I116" s="313">
        <f t="shared" si="35"/>
        <v>4119101.2933562174</v>
      </c>
      <c r="J116" s="313">
        <f t="shared" si="35"/>
        <v>5075552.7649375666</v>
      </c>
      <c r="K116" s="313">
        <f t="shared" si="35"/>
        <v>6144100.348988249</v>
      </c>
      <c r="L116" s="313">
        <f t="shared" si="35"/>
        <v>7337881.7098896718</v>
      </c>
      <c r="M116" s="313">
        <f t="shared" si="35"/>
        <v>8671574.246288741</v>
      </c>
      <c r="N116" s="313">
        <f t="shared" si="35"/>
        <v>10161575.547953783</v>
      </c>
      <c r="O116" s="186"/>
      <c r="P116"/>
      <c r="Q116" s="186"/>
      <c r="R116" s="186"/>
      <c r="S116" s="186"/>
      <c r="T116" s="186"/>
      <c r="U116" s="186"/>
      <c r="V116" s="186"/>
      <c r="W116" s="186"/>
      <c r="X116" s="186"/>
      <c r="Y116" s="186"/>
      <c r="Z116" s="186"/>
      <c r="AA116" s="256"/>
    </row>
    <row r="117" spans="1:27" s="1" customFormat="1" ht="15.75" customHeight="1" x14ac:dyDescent="0.3">
      <c r="A117" s="186"/>
      <c r="B117" s="341"/>
      <c r="C117" s="247" t="s">
        <v>202</v>
      </c>
      <c r="D117" s="9" t="s">
        <v>144</v>
      </c>
      <c r="E117" s="313">
        <f>(E114-(E111+E116))</f>
        <v>24652.142900963314</v>
      </c>
      <c r="F117" s="313">
        <f>(F114-(F111+F116))</f>
        <v>2112259.8364166301</v>
      </c>
      <c r="G117" s="313">
        <f t="shared" ref="G117:N117" si="36">(G114-(G111+G116))</f>
        <v>3876040.6892446596</v>
      </c>
      <c r="H117" s="313">
        <f t="shared" si="36"/>
        <v>5846536.6580241323</v>
      </c>
      <c r="I117" s="313">
        <f t="shared" si="36"/>
        <v>8047974.7543445602</v>
      </c>
      <c r="J117" s="313">
        <f t="shared" si="36"/>
        <v>10507421.39555374</v>
      </c>
      <c r="K117" s="313">
        <f t="shared" si="36"/>
        <v>13255115.183112636</v>
      </c>
      <c r="L117" s="313">
        <f t="shared" si="36"/>
        <v>16324838.682573438</v>
      </c>
      <c r="M117" s="313">
        <f t="shared" si="36"/>
        <v>19754333.776171044</v>
      </c>
      <c r="N117" s="313">
        <f t="shared" si="36"/>
        <v>23585765.694738291</v>
      </c>
      <c r="O117" s="186"/>
      <c r="P117"/>
      <c r="Q117" s="186"/>
      <c r="R117" s="186"/>
      <c r="S117" s="186"/>
      <c r="T117" s="186"/>
      <c r="U117" s="186"/>
      <c r="V117" s="186"/>
      <c r="W117" s="186"/>
      <c r="X117" s="186"/>
      <c r="Y117" s="186"/>
      <c r="Z117" s="186"/>
      <c r="AA117" s="256"/>
    </row>
    <row r="118" spans="1:27" s="1" customFormat="1" x14ac:dyDescent="0.3">
      <c r="A118" s="186"/>
      <c r="B118" s="341"/>
      <c r="C118" s="263" t="s">
        <v>150</v>
      </c>
      <c r="D118" s="261" t="s">
        <v>144</v>
      </c>
      <c r="E118" s="262">
        <f>E117/E109</f>
        <v>11.292781906075728</v>
      </c>
      <c r="F118" s="262">
        <f>F117/F109</f>
        <v>398.53959177672266</v>
      </c>
      <c r="G118" s="262">
        <f>G117/G109</f>
        <v>731.32843193295469</v>
      </c>
      <c r="H118" s="262">
        <f t="shared" ref="H118:N118" si="37">H117/H109</f>
        <v>1103.1201241554966</v>
      </c>
      <c r="I118" s="262">
        <f t="shared" si="37"/>
        <v>1518.4858027065209</v>
      </c>
      <c r="J118" s="262">
        <f t="shared" si="37"/>
        <v>1982.5323387837245</v>
      </c>
      <c r="K118" s="262">
        <f t="shared" si="37"/>
        <v>2500.9651288891769</v>
      </c>
      <c r="L118" s="262">
        <f t="shared" si="37"/>
        <v>3080.1582419949882</v>
      </c>
      <c r="M118" s="262">
        <f t="shared" si="37"/>
        <v>3727.2327879568006</v>
      </c>
      <c r="N118" s="262">
        <f t="shared" si="37"/>
        <v>4450.1444707053379</v>
      </c>
      <c r="O118" s="186"/>
      <c r="P118"/>
      <c r="Q118" s="186"/>
      <c r="R118" s="186"/>
      <c r="S118" s="186"/>
      <c r="T118" s="186"/>
      <c r="U118" s="186"/>
      <c r="V118" s="186"/>
      <c r="W118" s="186"/>
      <c r="X118" s="186"/>
      <c r="Y118" s="186"/>
      <c r="Z118" s="186"/>
      <c r="AA118" s="256"/>
    </row>
    <row r="119" spans="1:27" s="1" customFormat="1" x14ac:dyDescent="0.3">
      <c r="A119" s="186"/>
      <c r="B119" s="341"/>
      <c r="C119" s="263" t="s">
        <v>151</v>
      </c>
      <c r="D119" s="261" t="s">
        <v>144</v>
      </c>
      <c r="E119" s="262">
        <f t="shared" ref="E119:N119" si="38">E118/(1+$C$3)^(E63-2023)</f>
        <v>10.266165369159753</v>
      </c>
      <c r="F119" s="262">
        <f t="shared" si="38"/>
        <v>329.37156345183683</v>
      </c>
      <c r="G119" s="262">
        <f t="shared" si="38"/>
        <v>549.45787523137074</v>
      </c>
      <c r="H119" s="262">
        <f t="shared" si="38"/>
        <v>753.44588768219126</v>
      </c>
      <c r="I119" s="262">
        <f t="shared" si="38"/>
        <v>942.86021366307591</v>
      </c>
      <c r="J119" s="262">
        <f t="shared" si="38"/>
        <v>1119.0878207319554</v>
      </c>
      <c r="K119" s="262">
        <f t="shared" si="38"/>
        <v>1283.3905593013862</v>
      </c>
      <c r="L119" s="262">
        <f t="shared" si="38"/>
        <v>1436.9165521044993</v>
      </c>
      <c r="M119" s="262">
        <f t="shared" si="38"/>
        <v>1580.7105484923152</v>
      </c>
      <c r="N119" s="262">
        <f t="shared" si="38"/>
        <v>1715.7233376723773</v>
      </c>
      <c r="O119" s="186"/>
      <c r="P119"/>
      <c r="Q119" s="186"/>
      <c r="R119" s="186"/>
      <c r="S119" s="186"/>
      <c r="T119" s="186"/>
      <c r="U119" s="186"/>
      <c r="V119" s="186"/>
      <c r="W119" s="186"/>
      <c r="X119" s="186"/>
      <c r="Y119" s="186"/>
      <c r="Z119" s="186"/>
      <c r="AA119" s="256"/>
    </row>
    <row r="120" spans="1:27" s="1" customFormat="1" x14ac:dyDescent="0.3">
      <c r="A120" s="186"/>
      <c r="B120" s="341"/>
      <c r="C120" s="260" t="s">
        <v>152</v>
      </c>
      <c r="D120" s="261" t="s">
        <v>144</v>
      </c>
      <c r="E120" s="262">
        <f>E119/('Model input'!$F$54/'Model input'!$D$54)</f>
        <v>5.8236303348508045</v>
      </c>
      <c r="F120" s="262">
        <f>F119/('Model input'!$F$54/'Model input'!$D$54)</f>
        <v>186.840768620148</v>
      </c>
      <c r="G120" s="262">
        <f>G119/('Model input'!$F$54/'Model input'!$D$54)</f>
        <v>311.68790243069833</v>
      </c>
      <c r="H120" s="262">
        <f>H119/('Model input'!$F$54/'Model input'!$D$54)</f>
        <v>427.40304382353094</v>
      </c>
      <c r="I120" s="262">
        <f>I119/('Model input'!$F$54/'Model input'!$D$54)</f>
        <v>534.85105142638156</v>
      </c>
      <c r="J120" s="262">
        <f>J119/('Model input'!$F$54/'Model input'!$D$54)</f>
        <v>634.8187025853548</v>
      </c>
      <c r="K120" s="262">
        <f>K119/('Model input'!$F$54/'Model input'!$D$54)</f>
        <v>728.02180014176133</v>
      </c>
      <c r="L120" s="262">
        <f>L119/('Model input'!$F$54/'Model input'!$D$54)</f>
        <v>815.11163327090298</v>
      </c>
      <c r="M120" s="262">
        <f>M119/('Model input'!$F$54/'Model input'!$D$54)</f>
        <v>896.6808511065251</v>
      </c>
      <c r="N120" s="262">
        <f>N119/('Model input'!$F$54/'Model input'!$D$54)</f>
        <v>973.26880253616184</v>
      </c>
      <c r="O120" s="186"/>
      <c r="P120"/>
      <c r="Q120" s="186"/>
      <c r="R120" s="186"/>
      <c r="S120" s="186"/>
      <c r="T120" s="186"/>
      <c r="U120" s="186"/>
      <c r="V120" s="186"/>
      <c r="W120" s="186"/>
      <c r="X120" s="186"/>
      <c r="Y120" s="186"/>
      <c r="Z120" s="186"/>
      <c r="AA120" s="256"/>
    </row>
    <row r="121" spans="1:27" s="1" customFormat="1" x14ac:dyDescent="0.3">
      <c r="A121" s="186"/>
      <c r="B121" s="341"/>
      <c r="C121" s="168" t="s">
        <v>154</v>
      </c>
      <c r="D121" s="184" t="s">
        <v>144</v>
      </c>
      <c r="E121" s="185">
        <f>E120*'Model input'!$C$60</f>
        <v>0.11268724697936307</v>
      </c>
      <c r="F121" s="185">
        <f>F120*'Model input'!$C$60</f>
        <v>3.6153688727998636</v>
      </c>
      <c r="G121" s="185">
        <f>G120*'Model input'!$C$60</f>
        <v>6.0311609120340126</v>
      </c>
      <c r="H121" s="185">
        <f>H120*'Model input'!$C$60</f>
        <v>8.2702488979853239</v>
      </c>
      <c r="I121" s="185">
        <f>I120*'Model input'!$C$60</f>
        <v>10.349367845100483</v>
      </c>
      <c r="J121" s="185">
        <f>J120*'Model input'!$C$60</f>
        <v>12.283741895026616</v>
      </c>
      <c r="K121" s="185">
        <f>K120*'Model input'!$C$60</f>
        <v>14.087221832743081</v>
      </c>
      <c r="L121" s="185">
        <f>L120*'Model input'!$C$60</f>
        <v>15.772410103791971</v>
      </c>
      <c r="M121" s="185">
        <f>M120*'Model input'!$C$60</f>
        <v>17.350774468911261</v>
      </c>
      <c r="N121" s="185">
        <f>N120*'Model input'!$C$60</f>
        <v>18.832751329074732</v>
      </c>
      <c r="O121" s="186"/>
      <c r="P121"/>
      <c r="Q121" s="186"/>
      <c r="R121" s="186"/>
      <c r="S121" s="186"/>
      <c r="T121" s="186"/>
      <c r="U121" s="186"/>
      <c r="V121" s="186"/>
      <c r="W121" s="186"/>
      <c r="X121" s="186"/>
      <c r="Y121" s="186"/>
      <c r="Z121" s="186"/>
      <c r="AA121" s="256"/>
    </row>
    <row r="122" spans="1:27" s="1" customFormat="1" ht="15.6" x14ac:dyDescent="0.3">
      <c r="A122" s="186"/>
      <c r="B122" s="342" t="s">
        <v>203</v>
      </c>
      <c r="C122" s="342"/>
      <c r="D122" s="171"/>
      <c r="E122" s="170">
        <f>E70+E80+E96+E105*($C$57/$C$55)+E118*($C$59/$C$55)</f>
        <v>-520.91102876356354</v>
      </c>
      <c r="F122" s="170">
        <f t="shared" ref="F122:N122" si="39">F70+F80+F96+F105*($C$57/$C$55)+F118*($C$59/$C$55)</f>
        <v>1070.3546167129346</v>
      </c>
      <c r="G122" s="170">
        <f t="shared" si="39"/>
        <v>835.39264427415674</v>
      </c>
      <c r="H122" s="170">
        <f t="shared" si="39"/>
        <v>3410.6204294018698</v>
      </c>
      <c r="I122" s="170">
        <f t="shared" si="39"/>
        <v>5328.7313578836529</v>
      </c>
      <c r="J122" s="170">
        <f t="shared" si="39"/>
        <v>8116.2970922903278</v>
      </c>
      <c r="K122" s="170">
        <f t="shared" si="39"/>
        <v>10129.743027352228</v>
      </c>
      <c r="L122" s="170">
        <f t="shared" si="39"/>
        <v>12031.586520477738</v>
      </c>
      <c r="M122" s="170">
        <f t="shared" si="39"/>
        <v>13510.664493107639</v>
      </c>
      <c r="N122" s="170">
        <f t="shared" si="39"/>
        <v>13462.300894128122</v>
      </c>
      <c r="O122" s="186"/>
      <c r="P122"/>
      <c r="Q122" s="186"/>
      <c r="R122" s="186"/>
      <c r="S122" s="186"/>
      <c r="T122" s="186"/>
      <c r="U122" s="186"/>
      <c r="V122" s="186"/>
      <c r="W122" s="186"/>
      <c r="X122" s="186"/>
      <c r="Y122" s="186"/>
      <c r="Z122" s="186"/>
      <c r="AA122" s="256"/>
    </row>
    <row r="123" spans="1:27" ht="15.6" x14ac:dyDescent="0.3">
      <c r="B123" s="342" t="s">
        <v>204</v>
      </c>
      <c r="C123" s="342"/>
      <c r="D123" s="169" t="s">
        <v>144</v>
      </c>
      <c r="E123" s="170">
        <f t="shared" ref="E123:N123" si="40">E72+E98+E82+E107*($C$57/$C$55)+E120*($C$59/$C$55)</f>
        <v>-268.63117468280331</v>
      </c>
      <c r="F123" s="170">
        <f t="shared" si="40"/>
        <v>501.79676852484067</v>
      </c>
      <c r="G123" s="170">
        <f t="shared" si="40"/>
        <v>356.0394613834967</v>
      </c>
      <c r="H123" s="170">
        <f t="shared" si="40"/>
        <v>1321.4422626629532</v>
      </c>
      <c r="I123" s="170">
        <f t="shared" si="40"/>
        <v>1876.9207880988256</v>
      </c>
      <c r="J123" s="170">
        <f t="shared" si="40"/>
        <v>2598.8868323257698</v>
      </c>
      <c r="K123" s="170">
        <f t="shared" si="40"/>
        <v>2948.731139255005</v>
      </c>
      <c r="L123" s="170">
        <f t="shared" si="40"/>
        <v>3183.9552935419442</v>
      </c>
      <c r="M123" s="170">
        <f t="shared" si="40"/>
        <v>3250.3347190545483</v>
      </c>
      <c r="N123" s="170">
        <f t="shared" si="40"/>
        <v>2944.2723841576476</v>
      </c>
      <c r="AA123" s="16"/>
    </row>
    <row r="124" spans="1:27" ht="15.6" x14ac:dyDescent="0.3">
      <c r="B124" s="342" t="s">
        <v>205</v>
      </c>
      <c r="C124" s="342"/>
      <c r="D124" s="169" t="s">
        <v>144</v>
      </c>
      <c r="E124" s="170">
        <f t="shared" ref="E124:N124" si="41">E73+E99+E83+E108*($C$57/$C$55)+E121*($C$59/$C$55)</f>
        <v>-5.1980132301122435</v>
      </c>
      <c r="F124" s="170">
        <f t="shared" si="41"/>
        <v>9.7097674709556667</v>
      </c>
      <c r="G124" s="170">
        <f t="shared" si="41"/>
        <v>6.8893635777706592</v>
      </c>
      <c r="H124" s="170">
        <f t="shared" si="41"/>
        <v>25.569907782528148</v>
      </c>
      <c r="I124" s="170">
        <f t="shared" si="41"/>
        <v>36.318417249712276</v>
      </c>
      <c r="J124" s="170">
        <f t="shared" si="41"/>
        <v>50.28846020550364</v>
      </c>
      <c r="K124" s="170">
        <f t="shared" si="41"/>
        <v>57.057947544584351</v>
      </c>
      <c r="L124" s="170">
        <f t="shared" si="41"/>
        <v>61.60953493003661</v>
      </c>
      <c r="M124" s="170">
        <f t="shared" si="41"/>
        <v>62.8939768137055</v>
      </c>
      <c r="N124" s="170">
        <f t="shared" si="41"/>
        <v>56.971670633450472</v>
      </c>
      <c r="AA124" s="16"/>
    </row>
    <row r="125" spans="1:27" x14ac:dyDescent="0.3">
      <c r="E125" s="101"/>
      <c r="F125" s="101"/>
      <c r="G125" s="101"/>
      <c r="H125" s="101"/>
      <c r="I125" s="101"/>
      <c r="J125" s="101"/>
      <c r="K125" s="101"/>
      <c r="L125" s="101"/>
      <c r="M125" s="101"/>
      <c r="N125" s="101"/>
      <c r="AA125" s="16"/>
    </row>
    <row r="126" spans="1:27" ht="18" x14ac:dyDescent="0.35">
      <c r="A126" s="95"/>
      <c r="B126" s="155" t="s">
        <v>206</v>
      </c>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7"/>
    </row>
    <row r="127" spans="1:27" x14ac:dyDescent="0.3">
      <c r="AA127" s="16"/>
    </row>
    <row r="128" spans="1:27" ht="15.6" x14ac:dyDescent="0.3">
      <c r="B128" s="152" t="s">
        <v>141</v>
      </c>
      <c r="C128" s="147">
        <v>2023</v>
      </c>
      <c r="D128" s="147">
        <v>2024</v>
      </c>
      <c r="E128" s="147">
        <v>2025</v>
      </c>
      <c r="F128" s="147">
        <v>2026</v>
      </c>
      <c r="G128" s="147">
        <v>2027</v>
      </c>
      <c r="H128" s="147">
        <v>2028</v>
      </c>
      <c r="I128" s="147">
        <v>2029</v>
      </c>
      <c r="J128" s="147">
        <v>2030</v>
      </c>
      <c r="K128" s="147">
        <v>2031</v>
      </c>
      <c r="L128" s="147">
        <v>2032</v>
      </c>
      <c r="M128" s="147">
        <v>2033</v>
      </c>
      <c r="AA128" s="16"/>
    </row>
    <row r="129" spans="1:27" ht="15" customHeight="1" x14ac:dyDescent="0.3">
      <c r="B129" s="220" t="s">
        <v>207</v>
      </c>
      <c r="C129" s="125">
        <v>0</v>
      </c>
      <c r="D129" s="125">
        <f>E124*$C$55</f>
        <v>-176732.44982381628</v>
      </c>
      <c r="E129" s="125">
        <f>F124*$C$55</f>
        <v>330132.09401249269</v>
      </c>
      <c r="F129" s="125">
        <f>G124*$C$55</f>
        <v>234238.36164420241</v>
      </c>
      <c r="G129" s="125">
        <f t="shared" ref="G129:M129" si="42">H124*$C$55</f>
        <v>869376.86460595706</v>
      </c>
      <c r="H129" s="125">
        <f t="shared" si="42"/>
        <v>1234826.1864902175</v>
      </c>
      <c r="I129" s="125">
        <f t="shared" si="42"/>
        <v>1709807.6469871236</v>
      </c>
      <c r="J129" s="125">
        <f t="shared" si="42"/>
        <v>1939970.216515868</v>
      </c>
      <c r="K129" s="125">
        <f t="shared" si="42"/>
        <v>2094724.1876212447</v>
      </c>
      <c r="L129" s="125">
        <f t="shared" si="42"/>
        <v>2138395.211665987</v>
      </c>
      <c r="M129" s="125">
        <f t="shared" si="42"/>
        <v>1937036.8015373161</v>
      </c>
      <c r="AA129" s="16"/>
    </row>
    <row r="130" spans="1:27" x14ac:dyDescent="0.3">
      <c r="AA130" s="16"/>
    </row>
    <row r="131" spans="1:27" ht="18" x14ac:dyDescent="0.35">
      <c r="A131" s="95"/>
      <c r="B131" s="155" t="s">
        <v>208</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7"/>
    </row>
    <row r="132" spans="1:27" ht="18" x14ac:dyDescent="0.35">
      <c r="B132" s="19"/>
      <c r="C132" s="19"/>
      <c r="D132" s="19"/>
      <c r="E132" s="19"/>
      <c r="F132" s="19"/>
      <c r="G132" s="19"/>
      <c r="H132" s="19"/>
      <c r="I132" s="19"/>
      <c r="J132" s="19"/>
      <c r="K132" s="19"/>
      <c r="L132" s="19"/>
      <c r="M132" s="19"/>
      <c r="N132" s="19"/>
      <c r="O132" s="19"/>
      <c r="P132" s="19"/>
      <c r="Q132" s="19"/>
      <c r="AA132" s="16"/>
    </row>
    <row r="133" spans="1:27" ht="15.6" x14ac:dyDescent="0.3">
      <c r="B133" s="146" t="s">
        <v>141</v>
      </c>
      <c r="C133" s="147">
        <v>2023</v>
      </c>
      <c r="D133" s="147">
        <v>2024</v>
      </c>
      <c r="E133" s="147">
        <v>2025</v>
      </c>
      <c r="F133" s="147">
        <v>2026</v>
      </c>
      <c r="G133" s="147">
        <v>2027</v>
      </c>
      <c r="J133" s="2"/>
      <c r="K133" s="102"/>
      <c r="AA133" s="16"/>
    </row>
    <row r="134" spans="1:27" x14ac:dyDescent="0.3">
      <c r="B134" s="220" t="s">
        <v>209</v>
      </c>
      <c r="C134" s="112">
        <f>205151/(1+C5)</f>
        <v>170959.16666666669</v>
      </c>
      <c r="D134" s="112">
        <f>459248/(1+C5)</f>
        <v>382706.66666666669</v>
      </c>
      <c r="E134" s="112">
        <f>789532/(1+C5)</f>
        <v>657943.33333333337</v>
      </c>
      <c r="F134" s="112">
        <f>831954/(1+C5)</f>
        <v>693295</v>
      </c>
      <c r="G134" s="112">
        <f>682160/(1+C5)</f>
        <v>568466.66666666674</v>
      </c>
      <c r="J134" s="2"/>
      <c r="K134" s="102"/>
      <c r="AA134" s="16"/>
    </row>
    <row r="135" spans="1:27" x14ac:dyDescent="0.3">
      <c r="B135" s="220" t="s">
        <v>210</v>
      </c>
      <c r="C135" s="112">
        <f>C134/('Model input'!F55/'Model input'!$F$55)</f>
        <v>170959.16666666669</v>
      </c>
      <c r="D135" s="112">
        <f>D134/('Model input'!G55/'Model input'!$F$55)</f>
        <v>371205.10566517257</v>
      </c>
      <c r="E135" s="112">
        <f>E134/('Model input'!H55/'Model input'!$F$55)</f>
        <v>623271.66644845949</v>
      </c>
      <c r="F135" s="112">
        <f>F134/('Model input'!I55/'Model input'!$F$55)</f>
        <v>643795.7756940379</v>
      </c>
      <c r="G135" s="112">
        <f>G134/('Model input'!J55/'Model input'!$F$55)</f>
        <v>516925.08162426401</v>
      </c>
      <c r="J135" s="2"/>
      <c r="K135" s="102"/>
      <c r="AA135" s="16"/>
    </row>
    <row r="136" spans="1:27" x14ac:dyDescent="0.3">
      <c r="B136" s="220" t="s">
        <v>211</v>
      </c>
      <c r="C136" s="112">
        <f>C135/(1+$C$3)^(C133-2023)</f>
        <v>170959.16666666669</v>
      </c>
      <c r="D136" s="112">
        <f>D135/(1+$C$3)^(D133-2023)</f>
        <v>337459.18696833868</v>
      </c>
      <c r="E136" s="112">
        <f>E135/(1+$C$3)^(E133-2023)</f>
        <v>515100.55078385072</v>
      </c>
      <c r="F136" s="112">
        <f>F135/(1+$C$3)^(F133-2023)</f>
        <v>483693.29503684276</v>
      </c>
      <c r="G136" s="112">
        <f>G135/(1+$C$3)^(G133-2023)</f>
        <v>353066.78616505966</v>
      </c>
      <c r="J136" s="2"/>
      <c r="K136" s="102"/>
      <c r="AA136" s="16"/>
    </row>
    <row r="137" spans="1:27" x14ac:dyDescent="0.3">
      <c r="B137" s="220" t="s">
        <v>212</v>
      </c>
      <c r="C137" s="112">
        <f>C136/('Model input'!$G$55/'Model input'!$D$55)</f>
        <v>147253.6310097329</v>
      </c>
      <c r="D137" s="112">
        <f>D136/('Model input'!$G$55/'Model input'!$D$55)</f>
        <v>290666.42969527928</v>
      </c>
      <c r="E137" s="112">
        <f>E136/('Model input'!$G$55/'Model input'!$D$55)</f>
        <v>443675.6912013219</v>
      </c>
      <c r="F137" s="112">
        <f>F136/('Model input'!$G$55/'Model input'!$D$55)</f>
        <v>416623.42755864956</v>
      </c>
      <c r="G137" s="112">
        <f>G136/('Model input'!$G$55/'Model input'!$D$55)</f>
        <v>304109.84836579079</v>
      </c>
      <c r="AA137" s="16"/>
    </row>
    <row r="138" spans="1:27" x14ac:dyDescent="0.3">
      <c r="D138" s="103"/>
      <c r="E138" s="103"/>
      <c r="F138" s="103"/>
      <c r="G138" s="103"/>
      <c r="H138" s="103"/>
      <c r="AA138" s="16"/>
    </row>
    <row r="139" spans="1:27" ht="19.5" customHeight="1" x14ac:dyDescent="0.3">
      <c r="B139" s="172" t="s">
        <v>213</v>
      </c>
      <c r="C139" s="173">
        <f>SUM(C137:G137)</f>
        <v>1602329.0278307744</v>
      </c>
      <c r="E139" s="104"/>
      <c r="F139" s="104"/>
      <c r="G139" s="103"/>
      <c r="H139" s="103"/>
      <c r="AA139" s="16"/>
    </row>
    <row r="140" spans="1:27" ht="20.25" customHeight="1" x14ac:dyDescent="0.3">
      <c r="B140" s="174" t="s">
        <v>214</v>
      </c>
      <c r="C140" s="173">
        <f>SUM(C137:G137)/SUM(C55)</f>
        <v>47.127324347963956</v>
      </c>
      <c r="G140" s="103"/>
      <c r="AA140" s="16"/>
    </row>
    <row r="141" spans="1:27" ht="25.8" x14ac:dyDescent="0.3">
      <c r="B141" s="105"/>
      <c r="C141" s="105"/>
      <c r="D141" s="104"/>
      <c r="E141" s="104"/>
      <c r="F141" s="104"/>
      <c r="G141" s="103"/>
      <c r="H141" s="103"/>
      <c r="AA141" s="16"/>
    </row>
    <row r="142" spans="1:27" ht="18" x14ac:dyDescent="0.35">
      <c r="A142" s="95"/>
      <c r="B142" s="155" t="s">
        <v>215</v>
      </c>
      <c r="C142" s="94"/>
      <c r="D142" s="95"/>
      <c r="E142" s="96"/>
      <c r="F142" s="12"/>
      <c r="G142" s="12"/>
      <c r="H142" s="12"/>
      <c r="I142" s="12"/>
      <c r="J142" s="12"/>
      <c r="K142" s="12"/>
      <c r="L142" s="12"/>
      <c r="M142" s="12"/>
      <c r="N142" s="12"/>
      <c r="O142" s="12"/>
      <c r="P142" s="12"/>
      <c r="Q142" s="12"/>
      <c r="R142" s="12"/>
      <c r="S142" s="12"/>
      <c r="T142" s="12"/>
      <c r="U142" s="12"/>
      <c r="V142" s="12"/>
      <c r="W142" s="12"/>
      <c r="X142" s="12"/>
      <c r="Y142" s="12"/>
      <c r="Z142" s="12"/>
      <c r="AA142" s="17"/>
    </row>
    <row r="143" spans="1:27" x14ac:dyDescent="0.3">
      <c r="AA143" s="16"/>
    </row>
    <row r="144" spans="1:27" ht="15.6" x14ac:dyDescent="0.3">
      <c r="B144" s="174" t="s">
        <v>216</v>
      </c>
      <c r="C144" s="173">
        <f>SUM(C129:M129)</f>
        <v>12311775.121256594</v>
      </c>
      <c r="AA144" s="16"/>
    </row>
    <row r="145" spans="1:27" ht="19.5" customHeight="1" x14ac:dyDescent="0.3">
      <c r="B145" s="174" t="s">
        <v>217</v>
      </c>
      <c r="C145" s="173">
        <f>C144-C139</f>
        <v>10709446.09342582</v>
      </c>
      <c r="AA145" s="16"/>
    </row>
    <row r="146" spans="1:27" ht="18.75" customHeight="1" x14ac:dyDescent="0.3">
      <c r="B146" s="174" t="s">
        <v>218</v>
      </c>
      <c r="C146" s="173">
        <f>C144/C55</f>
        <v>362.11103297813509</v>
      </c>
      <c r="AA146" s="16"/>
    </row>
    <row r="147" spans="1:27" ht="19.5" customHeight="1" x14ac:dyDescent="0.3">
      <c r="B147" s="174" t="s">
        <v>219</v>
      </c>
      <c r="C147" s="173">
        <f>C146-C140</f>
        <v>314.98370863017112</v>
      </c>
      <c r="D147" s="103"/>
      <c r="AA147" s="16"/>
    </row>
    <row r="148" spans="1:27" ht="15.6" x14ac:dyDescent="0.3">
      <c r="B148" s="172" t="s">
        <v>220</v>
      </c>
      <c r="C148" s="175">
        <f>AVERAGE(E122:N122)/C49</f>
        <v>4.9714096009847004E-2</v>
      </c>
      <c r="AA148" s="16"/>
    </row>
    <row r="149" spans="1:27" ht="18" x14ac:dyDescent="0.35">
      <c r="B149" s="106"/>
      <c r="C149" s="106"/>
      <c r="AA149" s="16"/>
    </row>
    <row r="150" spans="1:27" ht="18" x14ac:dyDescent="0.35">
      <c r="A150" s="95"/>
      <c r="B150" s="155" t="s">
        <v>221</v>
      </c>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7"/>
    </row>
    <row r="151" spans="1:27" x14ac:dyDescent="0.3">
      <c r="AA151" s="16"/>
    </row>
    <row r="152" spans="1:27" ht="26.25" customHeight="1" x14ac:dyDescent="0.3">
      <c r="B152" s="172" t="s">
        <v>222</v>
      </c>
      <c r="C152" s="176">
        <f>(C144)/C139</f>
        <v>7.6836747680494923</v>
      </c>
      <c r="D152" s="117" t="s">
        <v>223</v>
      </c>
      <c r="E152" s="118"/>
      <c r="F152" s="116"/>
      <c r="AA152" s="16"/>
    </row>
    <row r="153" spans="1:27" x14ac:dyDescent="0.3">
      <c r="AA153" s="16"/>
    </row>
    <row r="154" spans="1:27" ht="18" x14ac:dyDescent="0.35">
      <c r="A154" s="95"/>
      <c r="B154" s="155" t="s">
        <v>224</v>
      </c>
      <c r="C154" s="94"/>
      <c r="D154" s="95"/>
      <c r="E154" s="96"/>
      <c r="F154" s="12"/>
      <c r="G154" s="12"/>
      <c r="H154" s="12"/>
      <c r="I154" s="12"/>
      <c r="J154" s="12"/>
      <c r="K154" s="12"/>
      <c r="L154" s="12"/>
      <c r="M154" s="12"/>
      <c r="N154" s="12"/>
      <c r="O154" s="12"/>
      <c r="P154" s="12"/>
      <c r="Q154" s="12"/>
      <c r="R154" s="12"/>
      <c r="S154" s="12"/>
      <c r="T154" s="12"/>
      <c r="U154" s="12"/>
      <c r="V154" s="12"/>
      <c r="W154" s="12"/>
      <c r="X154" s="12"/>
      <c r="Y154" s="12"/>
      <c r="Z154" s="12"/>
      <c r="AA154" s="17"/>
    </row>
    <row r="155" spans="1:27" ht="15.75" customHeight="1" x14ac:dyDescent="0.3">
      <c r="AA155" s="16"/>
    </row>
    <row r="156" spans="1:27" ht="18" customHeight="1" x14ac:dyDescent="0.3">
      <c r="B156" s="338" t="s">
        <v>287</v>
      </c>
      <c r="C156" s="338"/>
      <c r="E156" s="2" t="s">
        <v>225</v>
      </c>
      <c r="H156" s="275"/>
      <c r="I156" s="275"/>
      <c r="J156" s="275"/>
      <c r="K156" s="275"/>
      <c r="L156" s="275"/>
      <c r="M156" s="275"/>
      <c r="O156" s="2" t="s">
        <v>79</v>
      </c>
      <c r="P156" s="186"/>
      <c r="R156" s="186"/>
      <c r="S156" s="186"/>
      <c r="T156" s="186"/>
      <c r="U156" s="186"/>
      <c r="V156" s="186"/>
      <c r="W156" s="186"/>
      <c r="AA156" s="16"/>
    </row>
    <row r="157" spans="1:27" x14ac:dyDescent="0.3">
      <c r="B157" s="338"/>
      <c r="C157" s="338"/>
      <c r="E157" s="186"/>
      <c r="G157" s="346" t="s">
        <v>226</v>
      </c>
      <c r="H157" s="346"/>
      <c r="I157" s="346"/>
      <c r="J157" s="346"/>
      <c r="K157" s="346"/>
      <c r="L157" s="346"/>
      <c r="M157" s="346"/>
      <c r="O157" s="186"/>
      <c r="P157" s="186"/>
      <c r="Q157" s="346" t="s">
        <v>227</v>
      </c>
      <c r="R157" s="346"/>
      <c r="S157" s="346"/>
      <c r="T157" s="346"/>
      <c r="U157" s="346"/>
      <c r="V157" s="346"/>
      <c r="W157" s="346"/>
      <c r="AA157" s="16"/>
    </row>
    <row r="158" spans="1:27" ht="28.2" customHeight="1" x14ac:dyDescent="0.3">
      <c r="B158" s="338"/>
      <c r="C158" s="338"/>
      <c r="F158" s="107">
        <f>C152</f>
        <v>7.6836747680494923</v>
      </c>
      <c r="G158" s="276">
        <v>0</v>
      </c>
      <c r="H158" s="276">
        <v>0.05</v>
      </c>
      <c r="I158" s="119">
        <v>0.1</v>
      </c>
      <c r="J158" s="276">
        <v>0.125</v>
      </c>
      <c r="K158" s="276">
        <v>0.15</v>
      </c>
      <c r="L158" s="276">
        <v>0.17499999999999999</v>
      </c>
      <c r="M158" s="276">
        <v>0.2</v>
      </c>
      <c r="P158" s="107">
        <f>C152</f>
        <v>7.6836747680494923</v>
      </c>
      <c r="Q158" s="277">
        <v>0</v>
      </c>
      <c r="R158" s="277">
        <v>0.05</v>
      </c>
      <c r="S158" s="122">
        <v>0.1</v>
      </c>
      <c r="T158" s="277">
        <v>0.15</v>
      </c>
      <c r="U158" s="277">
        <v>0.2</v>
      </c>
      <c r="V158" s="277">
        <v>0.25</v>
      </c>
      <c r="W158" s="277">
        <v>0.3</v>
      </c>
      <c r="AA158" s="16"/>
    </row>
    <row r="159" spans="1:27" ht="15" customHeight="1" x14ac:dyDescent="0.3">
      <c r="B159" s="338"/>
      <c r="C159" s="338"/>
      <c r="E159" s="344" t="s">
        <v>228</v>
      </c>
      <c r="F159" s="278">
        <v>15000</v>
      </c>
      <c r="G159" s="279">
        <f t="dataTable" ref="G159:M165" dt2D="1" dtr="1" r1="C5" r2="C55" ca="1"/>
        <v>3.785904678460434</v>
      </c>
      <c r="H159" s="279">
        <v>3.9751999123834554</v>
      </c>
      <c r="I159" s="279">
        <v>4.1644951463064777</v>
      </c>
      <c r="J159" s="279">
        <v>4.2591427632679881</v>
      </c>
      <c r="K159" s="279">
        <v>4.3537903802294986</v>
      </c>
      <c r="L159" s="279">
        <v>4.4484379971910091</v>
      </c>
      <c r="M159" s="279">
        <v>4.5430856141525204</v>
      </c>
      <c r="O159" s="344" t="s">
        <v>229</v>
      </c>
      <c r="P159" s="280">
        <v>0</v>
      </c>
      <c r="Q159" s="281">
        <f t="dataTable" ref="Q159:W165" dt2D="1" dtr="1" r1="G65" r2="C26"/>
        <v>6.3473437978763112</v>
      </c>
      <c r="R159" s="281">
        <v>6.558583546606906</v>
      </c>
      <c r="S159" s="281">
        <v>6.7698232953375008</v>
      </c>
      <c r="T159" s="281">
        <v>6.9810630440680956</v>
      </c>
      <c r="U159" s="281">
        <v>7.1923027927986904</v>
      </c>
      <c r="V159" s="281">
        <v>7.4035425415292844</v>
      </c>
      <c r="W159" s="281">
        <v>7.6147822902598801</v>
      </c>
      <c r="AA159" s="16"/>
    </row>
    <row r="160" spans="1:27" ht="15" customHeight="1" x14ac:dyDescent="0.3">
      <c r="B160" s="338"/>
      <c r="C160" s="338"/>
      <c r="E160" s="344"/>
      <c r="F160" s="278">
        <v>20000</v>
      </c>
      <c r="G160" s="279">
        <v>4.4746303701045065</v>
      </c>
      <c r="H160" s="279">
        <v>4.6983618886097318</v>
      </c>
      <c r="I160" s="279">
        <v>4.922093407114958</v>
      </c>
      <c r="J160" s="279">
        <v>5.0339591663675698</v>
      </c>
      <c r="K160" s="279">
        <v>5.1458249256201816</v>
      </c>
      <c r="L160" s="279">
        <v>5.2576906848727951</v>
      </c>
      <c r="M160" s="279">
        <v>5.3695564441254069</v>
      </c>
      <c r="O160" s="344"/>
      <c r="P160" s="280">
        <v>0.1</v>
      </c>
      <c r="Q160" s="281">
        <v>6.6274760243965165</v>
      </c>
      <c r="R160" s="281">
        <v>6.8387157731271122</v>
      </c>
      <c r="S160" s="279">
        <v>7.049955521857707</v>
      </c>
      <c r="T160" s="279">
        <v>7.2611952705883009</v>
      </c>
      <c r="U160" s="279">
        <v>7.4724350193188966</v>
      </c>
      <c r="V160" s="279">
        <v>7.6836747680494923</v>
      </c>
      <c r="W160" s="279">
        <v>7.8949145167800872</v>
      </c>
      <c r="AA160" s="16"/>
    </row>
    <row r="161" spans="2:27" x14ac:dyDescent="0.3">
      <c r="B161" s="338"/>
      <c r="C161" s="338"/>
      <c r="E161" s="344"/>
      <c r="F161" s="278">
        <v>25000</v>
      </c>
      <c r="G161" s="279">
        <v>5.163356061748579</v>
      </c>
      <c r="H161" s="279">
        <v>5.4215238648360078</v>
      </c>
      <c r="I161" s="279">
        <v>5.6796916679234384</v>
      </c>
      <c r="J161" s="279">
        <v>5.8087755694671515</v>
      </c>
      <c r="K161" s="279">
        <v>5.9378594710108654</v>
      </c>
      <c r="L161" s="279">
        <v>6.0669433725545803</v>
      </c>
      <c r="M161" s="279">
        <v>6.1960272740982942</v>
      </c>
      <c r="O161" s="344"/>
      <c r="P161" s="123">
        <v>0.25</v>
      </c>
      <c r="Q161" s="281">
        <v>7.0476743641768262</v>
      </c>
      <c r="R161" s="279">
        <v>7.2589141129074211</v>
      </c>
      <c r="S161" s="108">
        <v>7.470153861638015</v>
      </c>
      <c r="T161" s="279">
        <v>7.6813936103686107</v>
      </c>
      <c r="U161" s="279">
        <v>7.8926333590992055</v>
      </c>
      <c r="V161" s="279">
        <v>8.1038731078298003</v>
      </c>
      <c r="W161" s="279">
        <v>8.3151128565603969</v>
      </c>
      <c r="AA161" s="16"/>
    </row>
    <row r="162" spans="2:27" x14ac:dyDescent="0.3">
      <c r="B162" s="338"/>
      <c r="C162" s="338"/>
      <c r="E162" s="344"/>
      <c r="F162" s="278">
        <v>30000</v>
      </c>
      <c r="G162" s="279">
        <v>5.8520817533926524</v>
      </c>
      <c r="H162" s="279">
        <v>6.1446858410622847</v>
      </c>
      <c r="I162" s="279">
        <v>6.4372899287319179</v>
      </c>
      <c r="J162" s="279">
        <v>6.5835919725667331</v>
      </c>
      <c r="K162" s="279">
        <v>6.7298940164015493</v>
      </c>
      <c r="L162" s="279">
        <v>6.8761960602363654</v>
      </c>
      <c r="M162" s="279">
        <v>7.0224981040711816</v>
      </c>
      <c r="O162" s="344"/>
      <c r="P162" s="280">
        <v>0.5</v>
      </c>
      <c r="Q162" s="281">
        <v>7.7480049304773404</v>
      </c>
      <c r="R162" s="279">
        <v>7.9592446792079379</v>
      </c>
      <c r="S162" s="279">
        <v>8.1704844279385309</v>
      </c>
      <c r="T162" s="279">
        <v>8.3817241766691257</v>
      </c>
      <c r="U162" s="279">
        <v>8.5929639253997205</v>
      </c>
      <c r="V162" s="279">
        <v>8.8042036741303153</v>
      </c>
      <c r="W162" s="279">
        <v>9.0154434228609102</v>
      </c>
      <c r="AA162" s="16"/>
    </row>
    <row r="163" spans="2:27" x14ac:dyDescent="0.3">
      <c r="B163" s="338"/>
      <c r="C163" s="338"/>
      <c r="E163" s="344"/>
      <c r="F163" s="120">
        <v>34000</v>
      </c>
      <c r="G163" s="279">
        <v>6.4030623067079109</v>
      </c>
      <c r="H163" s="279">
        <v>6.7232154220433058</v>
      </c>
      <c r="I163" s="108">
        <v>7.0433685373787025</v>
      </c>
      <c r="J163" s="279">
        <v>7.2034450950463995</v>
      </c>
      <c r="K163" s="279">
        <v>7.3635216527140965</v>
      </c>
      <c r="L163" s="279">
        <v>7.5235982103817944</v>
      </c>
      <c r="M163" s="279">
        <v>7.6836747680494923</v>
      </c>
      <c r="O163" s="344"/>
      <c r="P163" s="280">
        <v>0.6</v>
      </c>
      <c r="Q163" s="281">
        <v>8.0281371569975484</v>
      </c>
      <c r="R163" s="279">
        <v>8.2393769057281414</v>
      </c>
      <c r="S163" s="279">
        <v>8.450616654458738</v>
      </c>
      <c r="T163" s="279">
        <v>8.6618564031893328</v>
      </c>
      <c r="U163" s="279">
        <v>8.8730961519199276</v>
      </c>
      <c r="V163" s="279">
        <v>9.0843359006505224</v>
      </c>
      <c r="W163" s="279">
        <v>9.295575649381119</v>
      </c>
      <c r="AA163" s="16"/>
    </row>
    <row r="164" spans="2:27" x14ac:dyDescent="0.3">
      <c r="B164" s="338"/>
      <c r="C164" s="338"/>
      <c r="E164" s="344"/>
      <c r="F164" s="278">
        <v>35000</v>
      </c>
      <c r="G164" s="279">
        <v>6.540807445036724</v>
      </c>
      <c r="H164" s="279">
        <v>6.8678478172885598</v>
      </c>
      <c r="I164" s="279">
        <v>7.1948881895403973</v>
      </c>
      <c r="J164" s="279">
        <v>7.3584083756663139</v>
      </c>
      <c r="K164" s="279">
        <v>7.5219285617922313</v>
      </c>
      <c r="L164" s="279">
        <v>7.6854487479181497</v>
      </c>
      <c r="M164" s="279">
        <v>7.848968934044068</v>
      </c>
      <c r="O164" s="344"/>
      <c r="P164" s="280">
        <v>0.7</v>
      </c>
      <c r="Q164" s="281">
        <v>8.3082693835177537</v>
      </c>
      <c r="R164" s="279">
        <v>8.5195091322483485</v>
      </c>
      <c r="S164" s="279">
        <v>8.7307488809789433</v>
      </c>
      <c r="T164" s="279">
        <v>8.9419886297095363</v>
      </c>
      <c r="U164" s="279">
        <v>9.1532283784401347</v>
      </c>
      <c r="V164" s="279">
        <v>9.3644681271707277</v>
      </c>
      <c r="W164" s="279">
        <v>9.5757078759013226</v>
      </c>
      <c r="AA164" s="16"/>
    </row>
    <row r="165" spans="2:27" x14ac:dyDescent="0.3">
      <c r="B165" s="338"/>
      <c r="C165" s="338"/>
      <c r="E165" s="344"/>
      <c r="F165" s="278">
        <v>40000</v>
      </c>
      <c r="G165" s="279">
        <v>7.2295331366807973</v>
      </c>
      <c r="H165" s="279">
        <v>7.5910097935148375</v>
      </c>
      <c r="I165" s="279">
        <v>7.9524864503488786</v>
      </c>
      <c r="J165" s="279">
        <v>8.1332247787658964</v>
      </c>
      <c r="K165" s="279">
        <v>8.3139631071829161</v>
      </c>
      <c r="L165" s="279">
        <v>8.4947014355999357</v>
      </c>
      <c r="M165" s="279">
        <v>8.6754397640169554</v>
      </c>
      <c r="O165" s="344"/>
      <c r="P165" s="280">
        <v>0.8</v>
      </c>
      <c r="Q165" s="281">
        <v>8.5884016100379608</v>
      </c>
      <c r="R165" s="279">
        <v>8.7996413587685556</v>
      </c>
      <c r="S165" s="279">
        <v>9.0108811074991504</v>
      </c>
      <c r="T165" s="279">
        <v>9.2221208562297452</v>
      </c>
      <c r="U165" s="279">
        <v>9.43336060496034</v>
      </c>
      <c r="V165" s="279">
        <v>9.6446003536909348</v>
      </c>
      <c r="W165" s="279">
        <v>9.8558401024215314</v>
      </c>
      <c r="AA165" s="16"/>
    </row>
    <row r="166" spans="2:27" x14ac:dyDescent="0.3">
      <c r="B166" s="338"/>
      <c r="C166" s="338"/>
      <c r="E166" s="282"/>
      <c r="O166" s="186"/>
      <c r="P166" s="186"/>
      <c r="Q166" s="186"/>
      <c r="R166" s="186"/>
      <c r="S166" s="186"/>
      <c r="T166" s="186"/>
      <c r="U166" s="186"/>
      <c r="V166" s="186"/>
      <c r="W166" s="186"/>
      <c r="AA166" s="16"/>
    </row>
    <row r="167" spans="2:27" x14ac:dyDescent="0.3">
      <c r="B167" s="338"/>
      <c r="C167" s="338"/>
      <c r="O167" s="186"/>
      <c r="P167" s="186"/>
      <c r="Q167" s="275"/>
      <c r="R167" s="275"/>
      <c r="S167" s="275"/>
      <c r="T167" s="275"/>
      <c r="U167" s="275"/>
      <c r="V167" s="275"/>
      <c r="W167" s="275"/>
      <c r="AA167" s="16"/>
    </row>
    <row r="168" spans="2:27" x14ac:dyDescent="0.3">
      <c r="B168" s="338"/>
      <c r="C168" s="338"/>
      <c r="E168" s="2"/>
      <c r="F168" s="51"/>
      <c r="G168" s="346" t="s">
        <v>226</v>
      </c>
      <c r="H168" s="346"/>
      <c r="I168" s="346"/>
      <c r="J168" s="346"/>
      <c r="K168" s="346"/>
      <c r="L168" s="346"/>
      <c r="M168" s="346"/>
      <c r="O168" s="186"/>
      <c r="P168" s="186"/>
      <c r="Q168" s="346" t="s">
        <v>230</v>
      </c>
      <c r="R168" s="346"/>
      <c r="S168" s="346"/>
      <c r="T168" s="346"/>
      <c r="U168" s="346"/>
      <c r="V168" s="346"/>
      <c r="W168" s="346"/>
      <c r="AA168" s="16"/>
    </row>
    <row r="169" spans="2:27" x14ac:dyDescent="0.3">
      <c r="B169" s="338"/>
      <c r="C169" s="338"/>
      <c r="E169" s="2"/>
      <c r="F169" s="107">
        <f>C152</f>
        <v>7.6836747680494923</v>
      </c>
      <c r="G169" s="276">
        <v>0</v>
      </c>
      <c r="H169" s="276">
        <v>0.05</v>
      </c>
      <c r="I169" s="119">
        <v>0.1</v>
      </c>
      <c r="J169" s="276">
        <v>0.125</v>
      </c>
      <c r="K169" s="276">
        <v>0.15</v>
      </c>
      <c r="L169" s="276">
        <v>0.17499999999999999</v>
      </c>
      <c r="M169" s="276">
        <v>0.2</v>
      </c>
      <c r="P169" s="109">
        <f>C152</f>
        <v>7.6836747680494923</v>
      </c>
      <c r="Q169" s="277">
        <v>-0.3</v>
      </c>
      <c r="R169" s="277">
        <v>-0.2</v>
      </c>
      <c r="S169" s="277">
        <v>-0.1</v>
      </c>
      <c r="T169" s="122">
        <v>0</v>
      </c>
      <c r="U169" s="277">
        <v>0.1</v>
      </c>
      <c r="V169" s="277">
        <v>0.2</v>
      </c>
      <c r="W169" s="277">
        <v>0.3</v>
      </c>
      <c r="AA169" s="16"/>
    </row>
    <row r="170" spans="2:27" ht="16.5" customHeight="1" x14ac:dyDescent="0.3">
      <c r="B170" s="338"/>
      <c r="C170" s="338"/>
      <c r="E170" s="345" t="s">
        <v>231</v>
      </c>
      <c r="F170" s="121">
        <v>0</v>
      </c>
      <c r="G170" s="279">
        <f t="dataTable" ref="G170:M177" dt2D="1" dtr="1" r1="C3" r2="C5" ca="1"/>
        <v>10.458007261956537</v>
      </c>
      <c r="H170" s="279">
        <v>8.1149454696615315</v>
      </c>
      <c r="I170" s="108">
        <v>6.4030623067079109</v>
      </c>
      <c r="J170" s="279">
        <v>5.720797527104474</v>
      </c>
      <c r="K170" s="279">
        <v>5.1298070989356823</v>
      </c>
      <c r="L170" s="279">
        <v>4.615811473597371</v>
      </c>
      <c r="M170" s="279">
        <v>4.1670403288190432</v>
      </c>
      <c r="O170" s="344" t="s">
        <v>232</v>
      </c>
      <c r="P170" s="280">
        <v>0.4</v>
      </c>
      <c r="Q170" s="279">
        <f t="dataTable" ref="Q170:W176" dt2D="1" dtr="1" r1="C7" r2="C11" ca="1"/>
        <v>2.8196903910164819</v>
      </c>
      <c r="R170" s="279">
        <v>3.5779568890638762</v>
      </c>
      <c r="S170" s="279">
        <v>4.3011155697175729</v>
      </c>
      <c r="T170" s="279">
        <v>4.9996987781956808</v>
      </c>
      <c r="U170" s="279">
        <v>5.6804089160006361</v>
      </c>
      <c r="V170" s="279">
        <v>6.3477142508007223</v>
      </c>
      <c r="W170" s="279">
        <v>7.0047081986739901</v>
      </c>
      <c r="AA170" s="16"/>
    </row>
    <row r="171" spans="2:27" ht="18" customHeight="1" x14ac:dyDescent="0.3">
      <c r="B171" s="338"/>
      <c r="C171" s="338"/>
      <c r="E171" s="345"/>
      <c r="F171" s="283">
        <v>2.5000000000000001E-2</v>
      </c>
      <c r="G171" s="279">
        <v>10.719457443505449</v>
      </c>
      <c r="H171" s="279">
        <v>8.317819106403066</v>
      </c>
      <c r="I171" s="279">
        <v>6.5631388643756061</v>
      </c>
      <c r="J171" s="279">
        <v>5.8638174652820849</v>
      </c>
      <c r="K171" s="279">
        <v>5.2580522764090736</v>
      </c>
      <c r="L171" s="279">
        <v>4.7312067604373054</v>
      </c>
      <c r="M171" s="279">
        <v>4.2712163370395189</v>
      </c>
      <c r="O171" s="344"/>
      <c r="P171" s="280">
        <v>0.5</v>
      </c>
      <c r="Q171" s="279">
        <v>3.0857638659817974</v>
      </c>
      <c r="R171" s="279">
        <v>3.9060592500405122</v>
      </c>
      <c r="S171" s="279">
        <v>4.6894576310177598</v>
      </c>
      <c r="T171" s="279">
        <v>5.4470281098379827</v>
      </c>
      <c r="U171" s="279">
        <v>6.1858146598167343</v>
      </c>
      <c r="V171" s="279">
        <v>6.9105132631643782</v>
      </c>
      <c r="W171" s="279">
        <v>7.6243749844880968</v>
      </c>
      <c r="AA171" s="16"/>
    </row>
    <row r="172" spans="2:27" ht="13.5" customHeight="1" x14ac:dyDescent="0.3">
      <c r="B172" s="338"/>
      <c r="C172" s="338"/>
      <c r="E172" s="345"/>
      <c r="F172" s="283">
        <v>0.05</v>
      </c>
      <c r="G172" s="279">
        <v>10.980907625054364</v>
      </c>
      <c r="H172" s="279">
        <v>8.5206927431446058</v>
      </c>
      <c r="I172" s="279">
        <v>6.7232154220433058</v>
      </c>
      <c r="J172" s="279">
        <v>6.0068374034596976</v>
      </c>
      <c r="K172" s="279">
        <v>5.3862974538824657</v>
      </c>
      <c r="L172" s="279">
        <v>4.8466020472772406</v>
      </c>
      <c r="M172" s="279">
        <v>4.3753923452599954</v>
      </c>
      <c r="O172" s="344"/>
      <c r="P172" s="280">
        <v>0.6</v>
      </c>
      <c r="Q172" s="279">
        <v>3.3518373409471125</v>
      </c>
      <c r="R172" s="279">
        <v>4.2341616110171465</v>
      </c>
      <c r="S172" s="279">
        <v>5.0777996923179458</v>
      </c>
      <c r="T172" s="279">
        <v>5.8943574414802846</v>
      </c>
      <c r="U172" s="279">
        <v>6.6912204036328315</v>
      </c>
      <c r="V172" s="279">
        <v>7.473312275528035</v>
      </c>
      <c r="W172" s="279">
        <v>8.2440417703022053</v>
      </c>
      <c r="AA172" s="16"/>
    </row>
    <row r="173" spans="2:27" x14ac:dyDescent="0.3">
      <c r="B173" s="338"/>
      <c r="C173" s="338"/>
      <c r="E173" s="345"/>
      <c r="F173" s="283">
        <v>0.1</v>
      </c>
      <c r="G173" s="279">
        <v>11.503807988152191</v>
      </c>
      <c r="H173" s="279">
        <v>8.9264400166276836</v>
      </c>
      <c r="I173" s="279">
        <v>7.0433685373787025</v>
      </c>
      <c r="J173" s="279">
        <v>6.2928772798149222</v>
      </c>
      <c r="K173" s="279">
        <v>5.6427878088292509</v>
      </c>
      <c r="L173" s="279">
        <v>5.0773926209571085</v>
      </c>
      <c r="M173" s="279">
        <v>4.5837443617009486</v>
      </c>
      <c r="O173" s="344"/>
      <c r="P173" s="280">
        <v>0.7</v>
      </c>
      <c r="Q173" s="279">
        <v>3.6179108159124271</v>
      </c>
      <c r="R173" s="279">
        <v>4.5622639719937812</v>
      </c>
      <c r="S173" s="279">
        <v>5.4661417536181336</v>
      </c>
      <c r="T173" s="279">
        <v>6.3416867731225874</v>
      </c>
      <c r="U173" s="279">
        <v>7.1966261474489315</v>
      </c>
      <c r="V173" s="279">
        <v>8.0361112878916909</v>
      </c>
      <c r="W173" s="279">
        <v>8.8637085561163129</v>
      </c>
      <c r="AA173" s="16"/>
    </row>
    <row r="174" spans="2:27" x14ac:dyDescent="0.3">
      <c r="B174" s="338"/>
      <c r="C174" s="338"/>
      <c r="E174" s="345"/>
      <c r="F174" s="283">
        <v>0.125</v>
      </c>
      <c r="G174" s="279">
        <v>11.765258169701102</v>
      </c>
      <c r="H174" s="279">
        <v>9.1293136533692198</v>
      </c>
      <c r="I174" s="279">
        <v>7.2034450950463995</v>
      </c>
      <c r="J174" s="279">
        <v>6.4358972179925331</v>
      </c>
      <c r="K174" s="279">
        <v>5.7710329863026413</v>
      </c>
      <c r="L174" s="279">
        <v>5.1927879077970429</v>
      </c>
      <c r="M174" s="279">
        <v>4.6879203699214234</v>
      </c>
      <c r="O174" s="344"/>
      <c r="P174" s="280">
        <v>0.8</v>
      </c>
      <c r="Q174" s="279">
        <v>3.8839842908777427</v>
      </c>
      <c r="R174" s="279">
        <v>4.8903663329704159</v>
      </c>
      <c r="S174" s="279">
        <v>5.8544838149183196</v>
      </c>
      <c r="T174" s="279">
        <v>6.7890161047648903</v>
      </c>
      <c r="U174" s="279">
        <v>7.7020318912650305</v>
      </c>
      <c r="V174" s="279">
        <v>8.5989103002553477</v>
      </c>
      <c r="W174" s="279">
        <v>9.4833753419304205</v>
      </c>
      <c r="AA174" s="16"/>
    </row>
    <row r="175" spans="2:27" x14ac:dyDescent="0.3">
      <c r="B175" s="338"/>
      <c r="C175" s="338"/>
      <c r="E175" s="345"/>
      <c r="F175" s="283">
        <v>0.15</v>
      </c>
      <c r="G175" s="279">
        <v>12.026708351250015</v>
      </c>
      <c r="H175" s="279">
        <v>9.3321872901107579</v>
      </c>
      <c r="I175" s="279">
        <v>7.3635216527140965</v>
      </c>
      <c r="J175" s="279">
        <v>6.5789171561701441</v>
      </c>
      <c r="K175" s="279">
        <v>5.8992781637760343</v>
      </c>
      <c r="L175" s="279">
        <v>5.3081831946369764</v>
      </c>
      <c r="M175" s="279">
        <v>4.7920963781418999</v>
      </c>
      <c r="O175" s="344"/>
      <c r="P175" s="280">
        <v>0.9</v>
      </c>
      <c r="Q175" s="279">
        <v>4.1500577658430577</v>
      </c>
      <c r="R175" s="279">
        <v>5.2184686939470506</v>
      </c>
      <c r="S175" s="279">
        <v>6.2428258762185074</v>
      </c>
      <c r="T175" s="279">
        <v>7.2363454364071895</v>
      </c>
      <c r="U175" s="279">
        <v>8.2074376350811296</v>
      </c>
      <c r="V175" s="279">
        <v>9.1617093126190046</v>
      </c>
      <c r="W175" s="279">
        <v>10.103042127744528</v>
      </c>
      <c r="AA175" s="16"/>
    </row>
    <row r="176" spans="2:27" x14ac:dyDescent="0.3">
      <c r="B176" s="338"/>
      <c r="C176" s="338"/>
      <c r="E176" s="345"/>
      <c r="F176" s="283">
        <v>0.17499999999999999</v>
      </c>
      <c r="G176" s="279">
        <v>12.28815853279893</v>
      </c>
      <c r="H176" s="279">
        <v>9.5350609268522959</v>
      </c>
      <c r="I176" s="279">
        <v>7.5235982103817944</v>
      </c>
      <c r="J176" s="279">
        <v>6.7219370943477559</v>
      </c>
      <c r="K176" s="279">
        <v>6.0275233412494265</v>
      </c>
      <c r="L176" s="279">
        <v>5.4235784814769108</v>
      </c>
      <c r="M176" s="279">
        <v>4.8962723863623747</v>
      </c>
      <c r="O176" s="344"/>
      <c r="P176" s="123">
        <v>1</v>
      </c>
      <c r="Q176" s="279">
        <v>4.4161312408083724</v>
      </c>
      <c r="R176" s="279">
        <v>5.5465710549236853</v>
      </c>
      <c r="S176" s="279">
        <v>6.6311679375186943</v>
      </c>
      <c r="T176" s="108">
        <v>7.6836747680494923</v>
      </c>
      <c r="U176" s="279">
        <v>8.7128433788972277</v>
      </c>
      <c r="V176" s="279">
        <v>9.7245083249826614</v>
      </c>
      <c r="W176" s="279">
        <v>10.722708913558636</v>
      </c>
      <c r="AA176" s="16"/>
    </row>
    <row r="177" spans="2:27" x14ac:dyDescent="0.3">
      <c r="B177" s="338"/>
      <c r="C177" s="338"/>
      <c r="E177" s="345"/>
      <c r="F177" s="111">
        <v>0.2</v>
      </c>
      <c r="G177" s="279">
        <v>12.549608714347844</v>
      </c>
      <c r="H177" s="279">
        <v>9.7379345635938357</v>
      </c>
      <c r="I177" s="279">
        <v>7.6836747680494923</v>
      </c>
      <c r="J177" s="279">
        <v>6.8649570325253677</v>
      </c>
      <c r="K177" s="279">
        <v>6.1557685187228168</v>
      </c>
      <c r="L177" s="279">
        <v>5.5389737683168443</v>
      </c>
      <c r="M177" s="279">
        <v>5.0004483945828522</v>
      </c>
      <c r="O177" s="204"/>
      <c r="AA177" s="16"/>
    </row>
    <row r="178" spans="2:27" x14ac:dyDescent="0.3">
      <c r="B178" s="338"/>
      <c r="C178" s="338"/>
      <c r="Q178" s="346" t="s">
        <v>77</v>
      </c>
      <c r="R178" s="346"/>
      <c r="S178" s="346"/>
      <c r="T178" s="346"/>
      <c r="U178" s="346"/>
      <c r="V178" s="346"/>
      <c r="W178" s="346"/>
      <c r="AA178" s="16"/>
    </row>
    <row r="179" spans="2:27" x14ac:dyDescent="0.3">
      <c r="B179" s="338"/>
      <c r="C179" s="338"/>
      <c r="P179" s="109">
        <f>C152</f>
        <v>7.6836747680494923</v>
      </c>
      <c r="Q179" s="277">
        <v>0.4</v>
      </c>
      <c r="R179" s="277">
        <v>0.5</v>
      </c>
      <c r="S179" s="277">
        <v>0.6</v>
      </c>
      <c r="T179" s="277">
        <v>0.7</v>
      </c>
      <c r="U179" s="277">
        <v>0.8</v>
      </c>
      <c r="V179" s="277">
        <v>0.9</v>
      </c>
      <c r="W179" s="122">
        <v>1</v>
      </c>
      <c r="AA179" s="16"/>
    </row>
    <row r="180" spans="2:27" ht="15" customHeight="1" x14ac:dyDescent="0.3">
      <c r="B180" s="338"/>
      <c r="C180" s="338"/>
      <c r="E180" s="2" t="s">
        <v>96</v>
      </c>
      <c r="H180" s="275"/>
      <c r="I180" s="275"/>
      <c r="J180" s="275"/>
      <c r="K180" s="275"/>
      <c r="L180" s="275"/>
      <c r="M180" s="275"/>
      <c r="O180" s="344" t="s">
        <v>233</v>
      </c>
      <c r="P180" s="284">
        <v>0.2</v>
      </c>
      <c r="Q180" s="279">
        <f t="dataTable" ref="Q180:W186" dt2D="1" dtr="1" r1="C9" r2="C34" ca="1"/>
        <v>3.8852497258962186</v>
      </c>
      <c r="R180" s="279">
        <v>4.2188071931903597</v>
      </c>
      <c r="S180" s="279">
        <v>4.5523646604845007</v>
      </c>
      <c r="T180" s="279">
        <v>4.88592212777864</v>
      </c>
      <c r="U180" s="279">
        <v>5.219479595072781</v>
      </c>
      <c r="V180" s="279">
        <v>5.553037062366923</v>
      </c>
      <c r="W180" s="279">
        <v>5.8865945296610622</v>
      </c>
      <c r="AA180" s="16"/>
    </row>
    <row r="181" spans="2:27" x14ac:dyDescent="0.3">
      <c r="B181" s="338"/>
      <c r="C181" s="338"/>
      <c r="E181" s="186"/>
      <c r="G181" s="346" t="s">
        <v>234</v>
      </c>
      <c r="H181" s="346"/>
      <c r="I181" s="346"/>
      <c r="J181" s="346"/>
      <c r="K181" s="346"/>
      <c r="L181" s="346"/>
      <c r="M181" s="346"/>
      <c r="O181" s="344"/>
      <c r="P181" s="284">
        <v>0.3</v>
      </c>
      <c r="Q181" s="279">
        <v>3.9975016061762285</v>
      </c>
      <c r="R181" s="279">
        <v>4.3888024638596672</v>
      </c>
      <c r="S181" s="279">
        <v>4.7801033215431064</v>
      </c>
      <c r="T181" s="279">
        <v>5.1714041792265446</v>
      </c>
      <c r="U181" s="279">
        <v>5.5627050369099855</v>
      </c>
      <c r="V181" s="279">
        <v>5.9540058945934247</v>
      </c>
      <c r="W181" s="279">
        <v>6.345306752276862</v>
      </c>
      <c r="AA181" s="16"/>
    </row>
    <row r="182" spans="2:27" ht="15.75" customHeight="1" x14ac:dyDescent="0.3">
      <c r="B182" s="338"/>
      <c r="C182" s="338"/>
      <c r="F182" s="107">
        <f>C152</f>
        <v>7.6836747680494923</v>
      </c>
      <c r="G182" s="277">
        <v>0</v>
      </c>
      <c r="H182" s="277">
        <v>0.05</v>
      </c>
      <c r="I182" s="122">
        <v>0.1</v>
      </c>
      <c r="J182" s="277">
        <v>0.15</v>
      </c>
      <c r="K182" s="277">
        <v>0.2</v>
      </c>
      <c r="L182" s="277">
        <v>0.25</v>
      </c>
      <c r="M182" s="277">
        <v>0.3</v>
      </c>
      <c r="O182" s="344"/>
      <c r="P182" s="284">
        <v>0.4</v>
      </c>
      <c r="Q182" s="279">
        <v>4.1658792958617088</v>
      </c>
      <c r="R182" s="279">
        <v>4.6289549962858132</v>
      </c>
      <c r="S182" s="279">
        <v>5.0920306967099185</v>
      </c>
      <c r="T182" s="279">
        <v>5.5551063971340229</v>
      </c>
      <c r="U182" s="279">
        <v>6.0181820975581291</v>
      </c>
      <c r="V182" s="279">
        <v>6.4812577979822361</v>
      </c>
      <c r="W182" s="279">
        <v>6.9443334984063396</v>
      </c>
      <c r="AA182" s="16"/>
    </row>
    <row r="183" spans="2:27" ht="15" customHeight="1" x14ac:dyDescent="0.3">
      <c r="B183" s="338"/>
      <c r="C183" s="338"/>
      <c r="E183" s="344" t="s">
        <v>229</v>
      </c>
      <c r="F183" s="280">
        <v>0</v>
      </c>
      <c r="G183" s="281">
        <f t="dataTable" ref="G183:M189" dt2D="1" dtr="1" r1="C26" r2="G101" ca="1"/>
        <v>7.4035425415292844</v>
      </c>
      <c r="H183" s="281">
        <v>7.4250527862415296</v>
      </c>
      <c r="I183" s="281">
        <v>7.446563030953774</v>
      </c>
      <c r="J183" s="281">
        <v>7.4680732756660193</v>
      </c>
      <c r="K183" s="281">
        <v>7.4895835203782637</v>
      </c>
      <c r="L183" s="281">
        <v>7.511093765090509</v>
      </c>
      <c r="M183" s="281">
        <v>7.5326040098027542</v>
      </c>
      <c r="O183" s="344"/>
      <c r="P183" s="197">
        <v>0.5</v>
      </c>
      <c r="Q183" s="279">
        <v>4.3903827949526599</v>
      </c>
      <c r="R183" s="279">
        <v>4.9392647904687985</v>
      </c>
      <c r="S183" s="279">
        <v>5.4881467859849371</v>
      </c>
      <c r="T183" s="279">
        <v>6.0370287815010757</v>
      </c>
      <c r="U183" s="279">
        <v>6.5859107770172134</v>
      </c>
      <c r="V183" s="279">
        <v>7.1347927725333529</v>
      </c>
      <c r="W183" s="108">
        <v>7.6836747680494923</v>
      </c>
      <c r="AA183" s="16"/>
    </row>
    <row r="184" spans="2:27" ht="15" customHeight="1" x14ac:dyDescent="0.3">
      <c r="B184" s="338"/>
      <c r="C184" s="338"/>
      <c r="E184" s="344"/>
      <c r="F184" s="280">
        <v>0.1</v>
      </c>
      <c r="G184" s="281">
        <v>7.4035425415292844</v>
      </c>
      <c r="H184" s="281">
        <v>7.472475133660673</v>
      </c>
      <c r="I184" s="279">
        <v>7.5414077257920615</v>
      </c>
      <c r="J184" s="279">
        <v>7.6103403179234492</v>
      </c>
      <c r="K184" s="279">
        <v>7.6792729100548369</v>
      </c>
      <c r="L184" s="279">
        <v>7.7482055021862264</v>
      </c>
      <c r="M184" s="279">
        <v>7.8171380943176141</v>
      </c>
      <c r="O184" s="344"/>
      <c r="P184" s="284">
        <v>0.6</v>
      </c>
      <c r="Q184" s="279">
        <v>4.6710121034490797</v>
      </c>
      <c r="R184" s="279">
        <v>5.3197318464086205</v>
      </c>
      <c r="S184" s="279">
        <v>5.9684515893681604</v>
      </c>
      <c r="T184" s="279">
        <v>6.6171713323276986</v>
      </c>
      <c r="U184" s="279">
        <v>7.2658910752872394</v>
      </c>
      <c r="V184" s="279">
        <v>7.9146108182467811</v>
      </c>
      <c r="W184" s="279">
        <v>8.5633305612063193</v>
      </c>
      <c r="AA184" s="16"/>
    </row>
    <row r="185" spans="2:27" x14ac:dyDescent="0.3">
      <c r="B185" s="338"/>
      <c r="C185" s="338"/>
      <c r="E185" s="344"/>
      <c r="F185" s="123">
        <v>0.25</v>
      </c>
      <c r="G185" s="281">
        <v>7.4035425415292844</v>
      </c>
      <c r="H185" s="279">
        <v>7.5436086547893888</v>
      </c>
      <c r="I185" s="108">
        <v>7.6836747680494923</v>
      </c>
      <c r="J185" s="279">
        <v>7.823740881309595</v>
      </c>
      <c r="K185" s="279">
        <v>7.9638069945696985</v>
      </c>
      <c r="L185" s="279">
        <v>8.1038731078298003</v>
      </c>
      <c r="M185" s="279">
        <v>8.2439392210899047</v>
      </c>
      <c r="O185" s="344"/>
      <c r="P185" s="284">
        <v>0.7</v>
      </c>
      <c r="Q185" s="279">
        <v>5.0077672213509716</v>
      </c>
      <c r="R185" s="279">
        <v>5.770356164105281</v>
      </c>
      <c r="S185" s="279">
        <v>6.5329451068595903</v>
      </c>
      <c r="T185" s="279">
        <v>7.2955340496138978</v>
      </c>
      <c r="U185" s="279">
        <v>8.0581229923682081</v>
      </c>
      <c r="V185" s="279">
        <v>8.8207119351225174</v>
      </c>
      <c r="W185" s="279">
        <v>9.5833008778768232</v>
      </c>
      <c r="AA185" s="16"/>
    </row>
    <row r="186" spans="2:27" x14ac:dyDescent="0.3">
      <c r="B186" s="338"/>
      <c r="C186" s="338"/>
      <c r="E186" s="344"/>
      <c r="F186" s="280">
        <v>0.5</v>
      </c>
      <c r="G186" s="281">
        <v>7.4035425415292844</v>
      </c>
      <c r="H186" s="279">
        <v>7.6621645233372453</v>
      </c>
      <c r="I186" s="279">
        <v>7.920786505145208</v>
      </c>
      <c r="J186" s="279">
        <v>8.1794084869531698</v>
      </c>
      <c r="K186" s="279">
        <v>8.4380304687611307</v>
      </c>
      <c r="L186" s="279">
        <v>8.6966524505690916</v>
      </c>
      <c r="M186" s="279">
        <v>8.9552744323770526</v>
      </c>
      <c r="O186" s="344"/>
      <c r="P186" s="284">
        <v>0.8</v>
      </c>
      <c r="Q186" s="279">
        <v>5.4006481486583349</v>
      </c>
      <c r="R186" s="279">
        <v>6.2911377435587807</v>
      </c>
      <c r="S186" s="279">
        <v>7.1816273384592249</v>
      </c>
      <c r="T186" s="279">
        <v>8.0721169333596681</v>
      </c>
      <c r="U186" s="279">
        <v>8.9626065282601157</v>
      </c>
      <c r="V186" s="279">
        <v>9.8530961231605634</v>
      </c>
      <c r="W186" s="279">
        <v>10.743585718061007</v>
      </c>
      <c r="AA186" s="16"/>
    </row>
    <row r="187" spans="2:27" x14ac:dyDescent="0.3">
      <c r="B187" s="338"/>
      <c r="C187" s="338"/>
      <c r="E187" s="344"/>
      <c r="F187" s="280">
        <v>0.6</v>
      </c>
      <c r="G187" s="281">
        <v>7.4035425415292844</v>
      </c>
      <c r="H187" s="279">
        <v>7.7095868707563895</v>
      </c>
      <c r="I187" s="279">
        <v>8.0156311999834937</v>
      </c>
      <c r="J187" s="279">
        <v>8.3216755292105979</v>
      </c>
      <c r="K187" s="279">
        <v>8.6277198584377022</v>
      </c>
      <c r="L187" s="279">
        <v>8.9337641876648082</v>
      </c>
      <c r="M187" s="279">
        <v>9.2398085168919142</v>
      </c>
      <c r="AA187" s="16"/>
    </row>
    <row r="188" spans="2:27" x14ac:dyDescent="0.3">
      <c r="B188" s="338"/>
      <c r="C188" s="338"/>
      <c r="E188" s="344"/>
      <c r="F188" s="280">
        <v>0.7</v>
      </c>
      <c r="G188" s="281">
        <v>7.4035425415292844</v>
      </c>
      <c r="H188" s="279">
        <v>7.7570092181755319</v>
      </c>
      <c r="I188" s="279">
        <v>8.1104758948217803</v>
      </c>
      <c r="J188" s="279">
        <v>8.4639425714680279</v>
      </c>
      <c r="K188" s="279">
        <v>8.8174092481142772</v>
      </c>
      <c r="L188" s="279">
        <v>9.1708759247605247</v>
      </c>
      <c r="M188" s="279">
        <v>9.5243426014067722</v>
      </c>
      <c r="AA188" s="16"/>
    </row>
    <row r="189" spans="2:27" x14ac:dyDescent="0.3">
      <c r="B189" s="338"/>
      <c r="C189" s="338"/>
      <c r="E189" s="344"/>
      <c r="F189" s="280">
        <v>0.8</v>
      </c>
      <c r="G189" s="281">
        <v>7.4035425415292844</v>
      </c>
      <c r="H189" s="279">
        <v>7.8044315655946752</v>
      </c>
      <c r="I189" s="279">
        <v>8.2053205896600687</v>
      </c>
      <c r="J189" s="279">
        <v>8.6062096137254578</v>
      </c>
      <c r="K189" s="279">
        <v>9.0070986377908504</v>
      </c>
      <c r="L189" s="279">
        <v>9.4079876618562412</v>
      </c>
      <c r="M189" s="279">
        <v>9.8088766859216321</v>
      </c>
      <c r="Q189" s="346" t="s">
        <v>77</v>
      </c>
      <c r="R189" s="346"/>
      <c r="S189" s="346"/>
      <c r="T189" s="346"/>
      <c r="U189" s="346"/>
      <c r="V189" s="346"/>
      <c r="W189" s="346"/>
      <c r="AA189" s="16"/>
    </row>
    <row r="190" spans="2:27" x14ac:dyDescent="0.3">
      <c r="B190" s="338"/>
      <c r="C190" s="338"/>
      <c r="E190" s="282"/>
      <c r="P190" s="109">
        <f>C152</f>
        <v>7.6836747680494923</v>
      </c>
      <c r="Q190" s="277">
        <v>0.4</v>
      </c>
      <c r="R190" s="277">
        <v>0.5</v>
      </c>
      <c r="S190" s="277">
        <v>0.6</v>
      </c>
      <c r="T190" s="277">
        <v>0.7</v>
      </c>
      <c r="U190" s="277">
        <v>0.8</v>
      </c>
      <c r="V190" s="277">
        <v>0.9</v>
      </c>
      <c r="W190" s="122">
        <v>1</v>
      </c>
      <c r="AA190" s="16"/>
    </row>
    <row r="191" spans="2:27" ht="14.4" customHeight="1" x14ac:dyDescent="0.3">
      <c r="B191" s="338"/>
      <c r="C191" s="338"/>
      <c r="O191" s="344" t="s">
        <v>232</v>
      </c>
      <c r="P191" s="280">
        <v>0.4</v>
      </c>
      <c r="Q191" s="279">
        <f t="dataTable" ref="Q191:W197" dt2D="1" dtr="1" r1="C9" r2="C11" ca="1"/>
        <v>3.3167923990111357</v>
      </c>
      <c r="R191" s="279">
        <v>3.5972767955418936</v>
      </c>
      <c r="S191" s="279">
        <v>3.8777611920726511</v>
      </c>
      <c r="T191" s="279">
        <v>4.1582455886034086</v>
      </c>
      <c r="U191" s="279">
        <v>4.4387299851341666</v>
      </c>
      <c r="V191" s="279">
        <v>4.7192143816649246</v>
      </c>
      <c r="W191" s="279">
        <v>4.9996987781956808</v>
      </c>
      <c r="AA191" s="16"/>
    </row>
    <row r="192" spans="2:27" x14ac:dyDescent="0.3">
      <c r="B192" s="338"/>
      <c r="C192" s="338"/>
      <c r="E192" s="2" t="s">
        <v>235</v>
      </c>
      <c r="F192" s="51"/>
      <c r="O192" s="344"/>
      <c r="P192" s="280">
        <v>0.5</v>
      </c>
      <c r="Q192" s="279">
        <v>3.4957241316680565</v>
      </c>
      <c r="R192" s="279">
        <v>3.8209414613630441</v>
      </c>
      <c r="S192" s="279">
        <v>4.1461587910580331</v>
      </c>
      <c r="T192" s="279">
        <v>4.4713761207530203</v>
      </c>
      <c r="U192" s="279">
        <v>4.7965934504480074</v>
      </c>
      <c r="V192" s="279">
        <v>5.1218107801429955</v>
      </c>
      <c r="W192" s="279">
        <v>5.4470281098379827</v>
      </c>
      <c r="AA192" s="16"/>
    </row>
    <row r="193" spans="1:27" x14ac:dyDescent="0.3">
      <c r="B193" s="338"/>
      <c r="C193" s="338"/>
      <c r="E193" s="2"/>
      <c r="G193" s="346" t="s">
        <v>127</v>
      </c>
      <c r="H193" s="346"/>
      <c r="I193" s="346"/>
      <c r="J193" s="346"/>
      <c r="K193" s="346"/>
      <c r="L193" s="346"/>
      <c r="M193" s="346"/>
      <c r="O193" s="344"/>
      <c r="P193" s="280">
        <v>0.6</v>
      </c>
      <c r="Q193" s="279">
        <v>3.6746558643249765</v>
      </c>
      <c r="R193" s="279">
        <v>4.0446061271841947</v>
      </c>
      <c r="S193" s="279">
        <v>4.4145563900434137</v>
      </c>
      <c r="T193" s="279">
        <v>4.784506652902631</v>
      </c>
      <c r="U193" s="279">
        <v>5.1544569157618492</v>
      </c>
      <c r="V193" s="279">
        <v>5.5244071786210664</v>
      </c>
      <c r="W193" s="279">
        <v>5.8943574414802846</v>
      </c>
      <c r="AA193" s="16"/>
    </row>
    <row r="194" spans="1:27" x14ac:dyDescent="0.3">
      <c r="B194" s="338"/>
      <c r="C194" s="338"/>
      <c r="F194" s="107">
        <f>C152</f>
        <v>7.6836747680494923</v>
      </c>
      <c r="G194" s="277">
        <v>0.4</v>
      </c>
      <c r="H194" s="277">
        <v>0.5</v>
      </c>
      <c r="I194" s="277">
        <v>0.6</v>
      </c>
      <c r="J194" s="277">
        <v>0.7</v>
      </c>
      <c r="K194" s="277">
        <v>0.8</v>
      </c>
      <c r="L194" s="122">
        <v>0.95</v>
      </c>
      <c r="M194" s="277">
        <v>1</v>
      </c>
      <c r="O194" s="344"/>
      <c r="P194" s="280">
        <v>0.7</v>
      </c>
      <c r="Q194" s="279">
        <v>3.8535875969818973</v>
      </c>
      <c r="R194" s="279">
        <v>4.2682707930053461</v>
      </c>
      <c r="S194" s="279">
        <v>4.6829539890287935</v>
      </c>
      <c r="T194" s="279">
        <v>5.0976371850522417</v>
      </c>
      <c r="U194" s="279">
        <v>5.51232038107569</v>
      </c>
      <c r="V194" s="279">
        <v>5.9270035770991383</v>
      </c>
      <c r="W194" s="279">
        <v>6.3416867731225874</v>
      </c>
      <c r="AA194" s="16"/>
    </row>
    <row r="195" spans="1:27" ht="15" customHeight="1" x14ac:dyDescent="0.3">
      <c r="B195" s="338"/>
      <c r="C195" s="338"/>
      <c r="E195" s="344" t="s">
        <v>128</v>
      </c>
      <c r="F195" s="280">
        <v>0.1</v>
      </c>
      <c r="G195" s="281">
        <f t="dataTable" ref="G195:M200" dt2D="1" dtr="1" r1="C44" r2="C45" ca="1"/>
        <v>7.2241243278236498</v>
      </c>
      <c r="H195" s="281">
        <v>7.22429979894439</v>
      </c>
      <c r="I195" s="281">
        <v>7.2245549459398584</v>
      </c>
      <c r="J195" s="281">
        <v>7.2249436167340715</v>
      </c>
      <c r="K195" s="281">
        <v>7.2255599594386206</v>
      </c>
      <c r="L195" s="281">
        <v>7.2272931850936564</v>
      </c>
      <c r="M195" s="281">
        <v>7.2282311597450128</v>
      </c>
      <c r="O195" s="344"/>
      <c r="P195" s="280">
        <v>0.8</v>
      </c>
      <c r="Q195" s="279">
        <v>4.0325193296388182</v>
      </c>
      <c r="R195" s="279">
        <v>4.4919354588264975</v>
      </c>
      <c r="S195" s="279">
        <v>4.9513515880141741</v>
      </c>
      <c r="T195" s="279">
        <v>5.4107677172018525</v>
      </c>
      <c r="U195" s="279">
        <v>5.8701838463895317</v>
      </c>
      <c r="V195" s="279">
        <v>6.329599975577211</v>
      </c>
      <c r="W195" s="279">
        <v>6.7890161047648903</v>
      </c>
      <c r="AA195" s="16"/>
    </row>
    <row r="196" spans="1:27" ht="15" customHeight="1" x14ac:dyDescent="0.3">
      <c r="B196" s="338"/>
      <c r="C196" s="338"/>
      <c r="E196" s="344"/>
      <c r="F196" s="280">
        <v>0.2</v>
      </c>
      <c r="G196" s="281">
        <v>7.2482340975056081</v>
      </c>
      <c r="H196" s="281">
        <v>7.2571831246633973</v>
      </c>
      <c r="I196" s="281">
        <v>7.2701956214322729</v>
      </c>
      <c r="J196" s="281">
        <v>7.2900178319371713</v>
      </c>
      <c r="K196" s="279">
        <v>7.321451309869226</v>
      </c>
      <c r="L196" s="279">
        <v>7.4098458182759908</v>
      </c>
      <c r="M196" s="279">
        <v>7.4576825254951657</v>
      </c>
      <c r="O196" s="344"/>
      <c r="P196" s="280">
        <v>0.9</v>
      </c>
      <c r="Q196" s="279">
        <v>4.2114510622957395</v>
      </c>
      <c r="R196" s="279">
        <v>4.715600124647648</v>
      </c>
      <c r="S196" s="279">
        <v>5.2197491869995556</v>
      </c>
      <c r="T196" s="279">
        <v>5.723898249351465</v>
      </c>
      <c r="U196" s="279">
        <v>6.2280473117033734</v>
      </c>
      <c r="V196" s="279">
        <v>6.732196374055281</v>
      </c>
      <c r="W196" s="279">
        <v>7.2363454364071895</v>
      </c>
      <c r="AA196" s="16"/>
    </row>
    <row r="197" spans="1:27" x14ac:dyDescent="0.3">
      <c r="B197" s="338"/>
      <c r="C197" s="338"/>
      <c r="E197" s="344"/>
      <c r="F197" s="280">
        <v>0.3</v>
      </c>
      <c r="G197" s="281">
        <v>7.2723438671875673</v>
      </c>
      <c r="H197" s="281">
        <v>7.2900664503824046</v>
      </c>
      <c r="I197" s="281">
        <v>7.3158362969246866</v>
      </c>
      <c r="J197" s="279">
        <v>7.3550920471402703</v>
      </c>
      <c r="K197" s="279">
        <v>7.4173426602998331</v>
      </c>
      <c r="L197" s="279">
        <v>7.5923984514583234</v>
      </c>
      <c r="M197" s="279">
        <v>7.6871338912453195</v>
      </c>
      <c r="O197" s="344"/>
      <c r="P197" s="123">
        <v>1</v>
      </c>
      <c r="Q197" s="279">
        <v>4.3903827949526599</v>
      </c>
      <c r="R197" s="279">
        <v>4.9392647904687985</v>
      </c>
      <c r="S197" s="279">
        <v>5.4881467859849371</v>
      </c>
      <c r="T197" s="279">
        <v>6.0370287815010757</v>
      </c>
      <c r="U197" s="279">
        <v>6.5859107770172134</v>
      </c>
      <c r="V197" s="279">
        <v>7.1347927725333529</v>
      </c>
      <c r="W197" s="108">
        <v>7.6836747680494923</v>
      </c>
      <c r="AA197" s="16"/>
    </row>
    <row r="198" spans="1:27" x14ac:dyDescent="0.3">
      <c r="B198" s="338"/>
      <c r="C198" s="338"/>
      <c r="E198" s="344"/>
      <c r="F198" s="123">
        <v>0.35</v>
      </c>
      <c r="G198" s="281">
        <v>7.2843987520285474</v>
      </c>
      <c r="H198" s="281">
        <v>7.3065081132419083</v>
      </c>
      <c r="I198" s="281">
        <v>7.3386566346708948</v>
      </c>
      <c r="J198" s="279">
        <v>7.3876291547418216</v>
      </c>
      <c r="K198" s="279">
        <v>7.465288335515134</v>
      </c>
      <c r="L198" s="108">
        <v>7.6836747680494923</v>
      </c>
      <c r="M198" s="279">
        <v>7.801859574120396</v>
      </c>
      <c r="AA198" s="16"/>
    </row>
    <row r="199" spans="1:27" x14ac:dyDescent="0.3">
      <c r="B199" s="338"/>
      <c r="C199" s="338"/>
      <c r="E199" s="344"/>
      <c r="F199" s="280">
        <v>0.4</v>
      </c>
      <c r="G199" s="281">
        <v>7.2964536368695274</v>
      </c>
      <c r="H199" s="279">
        <v>7.3229497761014111</v>
      </c>
      <c r="I199" s="279">
        <v>7.3614769724171003</v>
      </c>
      <c r="J199" s="279">
        <v>7.4201662623433711</v>
      </c>
      <c r="K199" s="279">
        <v>7.5132340107304367</v>
      </c>
      <c r="L199" s="279">
        <v>7.7749510846406578</v>
      </c>
      <c r="M199" s="279">
        <v>7.9165852569954742</v>
      </c>
      <c r="AA199" s="16"/>
    </row>
    <row r="200" spans="1:27" x14ac:dyDescent="0.3">
      <c r="B200" s="338"/>
      <c r="C200" s="338"/>
      <c r="E200" s="344"/>
      <c r="F200" s="280">
        <v>0.45</v>
      </c>
      <c r="G200" s="281">
        <v>7.3085085217105057</v>
      </c>
      <c r="H200" s="279">
        <v>7.3393914389609147</v>
      </c>
      <c r="I200" s="279">
        <v>7.3842973101633085</v>
      </c>
      <c r="J200" s="279">
        <v>7.4527033699449214</v>
      </c>
      <c r="K200" s="279">
        <v>7.5611796859457403</v>
      </c>
      <c r="L200" s="279">
        <v>7.8662274012318258</v>
      </c>
      <c r="M200" s="279">
        <v>8.0313109398705489</v>
      </c>
      <c r="AA200" s="16"/>
    </row>
    <row r="201" spans="1:27" ht="126" customHeight="1" x14ac:dyDescent="0.3">
      <c r="B201" s="338"/>
      <c r="C201" s="338"/>
      <c r="AA201" s="16"/>
    </row>
    <row r="202" spans="1:27" ht="21" customHeight="1" x14ac:dyDescent="0.3">
      <c r="B202" s="205"/>
      <c r="C202" s="205"/>
      <c r="AA202" s="16"/>
    </row>
    <row r="203" spans="1:27" ht="21" customHeight="1" x14ac:dyDescent="0.3">
      <c r="A203" s="67"/>
      <c r="B203" s="149" t="s">
        <v>72</v>
      </c>
      <c r="C203" s="285"/>
      <c r="D203" s="67"/>
      <c r="E203" s="343" t="s">
        <v>236</v>
      </c>
      <c r="F203" s="343"/>
      <c r="G203" s="343"/>
      <c r="H203" s="343"/>
      <c r="I203" s="343"/>
      <c r="J203" s="343"/>
      <c r="K203" s="343"/>
      <c r="L203" s="343"/>
      <c r="M203" s="343"/>
      <c r="N203" s="67"/>
      <c r="O203" s="67"/>
      <c r="P203" s="67"/>
      <c r="Q203" s="67"/>
      <c r="R203" s="67"/>
      <c r="S203" s="67"/>
      <c r="T203" s="67"/>
      <c r="U203" s="67"/>
      <c r="V203" s="67"/>
      <c r="W203" s="67"/>
      <c r="X203" s="67"/>
      <c r="Y203" s="67"/>
      <c r="Z203" s="67"/>
      <c r="AA203" s="68"/>
    </row>
    <row r="204" spans="1:27" x14ac:dyDescent="0.3">
      <c r="C204" s="65"/>
      <c r="D204" s="65"/>
    </row>
    <row r="205" spans="1:27" ht="15.75" customHeight="1" x14ac:dyDescent="0.3"/>
    <row r="206" spans="1:27" ht="20.25" customHeight="1" x14ac:dyDescent="0.3"/>
    <row r="209" ht="15" customHeight="1" x14ac:dyDescent="0.3"/>
    <row r="217" ht="20.25" customHeight="1" x14ac:dyDescent="0.3"/>
    <row r="229" ht="15" customHeight="1" x14ac:dyDescent="0.3"/>
    <row r="238" ht="15.75" customHeight="1" x14ac:dyDescent="0.3"/>
  </sheetData>
  <mergeCells count="29">
    <mergeCell ref="G157:M157"/>
    <mergeCell ref="G168:M168"/>
    <mergeCell ref="G181:M181"/>
    <mergeCell ref="G193:M193"/>
    <mergeCell ref="Q157:W157"/>
    <mergeCell ref="Q168:W168"/>
    <mergeCell ref="Q178:W178"/>
    <mergeCell ref="Q189:W189"/>
    <mergeCell ref="O191:O197"/>
    <mergeCell ref="O159:O165"/>
    <mergeCell ref="O170:O176"/>
    <mergeCell ref="O180:O186"/>
    <mergeCell ref="E203:M203"/>
    <mergeCell ref="E195:E200"/>
    <mergeCell ref="E183:E189"/>
    <mergeCell ref="E159:E165"/>
    <mergeCell ref="E170:E177"/>
    <mergeCell ref="B156:C201"/>
    <mergeCell ref="B13:E13"/>
    <mergeCell ref="B64:B73"/>
    <mergeCell ref="B100:B108"/>
    <mergeCell ref="B109:B121"/>
    <mergeCell ref="B84:B99"/>
    <mergeCell ref="B29:E29"/>
    <mergeCell ref="B123:C123"/>
    <mergeCell ref="B74:B83"/>
    <mergeCell ref="B47:E47"/>
    <mergeCell ref="B124:C124"/>
    <mergeCell ref="B122:C122"/>
  </mergeCells>
  <phoneticPr fontId="35" type="noConversion"/>
  <conditionalFormatting sqref="B54:D54 D109:N122">
    <cfRule type="cellIs" dxfId="18" priority="64" operator="lessThan">
      <formula>0</formula>
    </cfRule>
  </conditionalFormatting>
  <conditionalFormatting sqref="B14:F14 B22:F22 C35 C63:N63 D66:N72 E73:N84 E86:N86 D87:N89 D91:D98 E91:N99 D102:N104 D105:D107 E105:N108">
    <cfRule type="cellIs" dxfId="17" priority="61" operator="lessThan">
      <formula>0</formula>
    </cfRule>
  </conditionalFormatting>
  <conditionalFormatting sqref="B30:F30">
    <cfRule type="cellIs" dxfId="16" priority="14" operator="lessThan">
      <formula>0</formula>
    </cfRule>
  </conditionalFormatting>
  <conditionalFormatting sqref="B37:F37">
    <cfRule type="cellIs" dxfId="15" priority="24" operator="lessThan">
      <formula>0</formula>
    </cfRule>
  </conditionalFormatting>
  <conditionalFormatting sqref="B48:F48">
    <cfRule type="cellIs" dxfId="14" priority="8" operator="lessThan">
      <formula>0</formula>
    </cfRule>
  </conditionalFormatting>
  <conditionalFormatting sqref="B133:G133">
    <cfRule type="cellIs" dxfId="13" priority="30" operator="lessThan">
      <formula>0</formula>
    </cfRule>
  </conditionalFormatting>
  <conditionalFormatting sqref="C25 C28">
    <cfRule type="cellIs" dxfId="12" priority="22" operator="lessThan">
      <formula>0</formula>
    </cfRule>
  </conditionalFormatting>
  <conditionalFormatting sqref="C41">
    <cfRule type="cellIs" dxfId="11" priority="5" operator="lessThan">
      <formula>0</formula>
    </cfRule>
  </conditionalFormatting>
  <conditionalFormatting sqref="C134:G137">
    <cfRule type="cellIs" dxfId="10" priority="4" operator="lessThan">
      <formula>0</formula>
    </cfRule>
  </conditionalFormatting>
  <conditionalFormatting sqref="C128:M129">
    <cfRule type="cellIs" dxfId="9" priority="3" operator="lessThan">
      <formula>0</formula>
    </cfRule>
  </conditionalFormatting>
  <conditionalFormatting sqref="D76:D82">
    <cfRule type="cellIs" dxfId="8" priority="17" operator="lessThan">
      <formula>0</formula>
    </cfRule>
  </conditionalFormatting>
  <conditionalFormatting sqref="E90:G90">
    <cfRule type="cellIs" dxfId="7" priority="10" operator="lessThan">
      <formula>0</formula>
    </cfRule>
  </conditionalFormatting>
  <conditionalFormatting sqref="E123:N124">
    <cfRule type="cellIs" dxfId="6" priority="1" operator="lessThan">
      <formula>0</formula>
    </cfRule>
  </conditionalFormatting>
  <conditionalFormatting sqref="P73:AA73">
    <cfRule type="cellIs" dxfId="5" priority="19" operator="lessThan">
      <formula>0</formula>
    </cfRule>
  </conditionalFormatting>
  <conditionalFormatting sqref="P85:AA85">
    <cfRule type="cellIs" dxfId="4" priority="15" operator="lessThan">
      <formula>0</formula>
    </cfRule>
  </conditionalFormatting>
  <conditionalFormatting sqref="P97:AA97">
    <cfRule type="cellIs" dxfId="3" priority="11" operator="lessThan">
      <formula>0</formula>
    </cfRule>
  </conditionalFormatting>
  <conditionalFormatting sqref="Q83:AA83">
    <cfRule type="cellIs" dxfId="2" priority="20" operator="lessThan">
      <formula>0</formula>
    </cfRule>
  </conditionalFormatting>
  <conditionalFormatting sqref="Q95:AA95">
    <cfRule type="cellIs" dxfId="1" priority="16" operator="lessThan">
      <formula>0</formula>
    </cfRule>
  </conditionalFormatting>
  <conditionalFormatting sqref="Q107:AA107">
    <cfRule type="cellIs" dxfId="0" priority="12" operator="lessThan">
      <formula>0</formula>
    </cfRule>
  </conditionalFormatting>
  <hyperlinks>
    <hyperlink ref="E31" r:id="rId1" xr:uid="{BFCA482A-1485-4FA2-8C47-54153C497B1F}"/>
    <hyperlink ref="E15" r:id="rId2" xr:uid="{B8D0A064-A241-4579-B9C8-814570BAEA54}"/>
    <hyperlink ref="E16" r:id="rId3" xr:uid="{91C3BF8C-D025-4F01-89B4-CEE528F867F4}"/>
    <hyperlink ref="E23" r:id="rId4" xr:uid="{C00B084F-8898-483B-9452-0F2ABC64A160}"/>
    <hyperlink ref="E24" r:id="rId5" xr:uid="{CD6A590C-89C5-4600-9794-7267D718A9EA}"/>
    <hyperlink ref="E33" r:id="rId6" xr:uid="{DA5C46D0-1D14-4908-8D89-24212A737E3F}"/>
    <hyperlink ref="E49" r:id="rId7" xr:uid="{35B721AB-7AA4-4735-BB9E-9953C1058275}"/>
    <hyperlink ref="E50" r:id="rId8" xr:uid="{22161023-2650-4917-9F2F-2531D538674E}"/>
    <hyperlink ref="E17" r:id="rId9" xr:uid="{29E8C88A-A10A-4753-A9A0-873683D446C1}"/>
  </hyperlinks>
  <pageMargins left="0.7" right="0.7" top="0.78740157499999996" bottom="0.78740157499999996" header="0.3" footer="0.3"/>
  <pageSetup paperSize="9" orientation="portrait" horizontalDpi="1200" verticalDpi="1200" r:id="rId10"/>
  <legacy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26731-836A-4DCE-AB2D-FA47BD75730F}">
  <dimension ref="A1"/>
  <sheetViews>
    <sheetView showGridLines="0" topLeftCell="A25" zoomScale="85" zoomScaleNormal="85" workbookViewId="0">
      <selection activeCell="S48" sqref="S48"/>
    </sheetView>
  </sheetViews>
  <sheetFormatPr defaultColWidth="8.6640625"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61670E027929440931DC4FF061F9A46" ma:contentTypeVersion="29" ma:contentTypeDescription="Ein neues Dokument erstellen." ma:contentTypeScope="" ma:versionID="0d88bc9cedf1ee999d8bb34fd8e7544b">
  <xsd:schema xmlns:xsd="http://www.w3.org/2001/XMLSchema" xmlns:xs="http://www.w3.org/2001/XMLSchema" xmlns:p="http://schemas.microsoft.com/office/2006/metadata/properties" xmlns:ns2="08b758c0-7f65-4904-9e43-345858c3c71c" xmlns:ns3="24dc8c7b-7b5d-4d41-8221-f7960f2ae5bd" targetNamespace="http://schemas.microsoft.com/office/2006/metadata/properties" ma:root="true" ma:fieldsID="980143298319afb703e608dd5fb72d34" ns2:_="" ns3:_="">
    <xsd:import namespace="08b758c0-7f65-4904-9e43-345858c3c71c"/>
    <xsd:import namespace="24dc8c7b-7b5d-4d41-8221-f7960f2ae5bd"/>
    <xsd:element name="properties">
      <xsd:complexType>
        <xsd:sequence>
          <xsd:element name="documentManagement">
            <xsd:complexType>
              <xsd:all>
                <xsd:element ref="ns2:Thematic_x0020_Focu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2:SharedWithUsers" minOccurs="0"/>
                <xsd:element ref="ns2:SharedWithDetails" minOccurs="0"/>
                <xsd:element ref="ns3:MediaServiceDateTaken" minOccurs="0"/>
                <xsd:element ref="ns3:MediaServiceLocation" minOccurs="0"/>
                <xsd:element ref="ns3:_Flow_SignoffStatus" minOccurs="0"/>
                <xsd:element ref="ns3:MediaLengthInSeconds" minOccurs="0"/>
                <xsd:element ref="ns2:TaxCatchAll" minOccurs="0"/>
                <xsd:element ref="ns3:lcf76f155ced4ddcb4097134ff3c332f" minOccurs="0"/>
                <xsd:element ref="ns3:PII"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b758c0-7f65-4904-9e43-345858c3c71c" elementFormDefault="qualified">
    <xsd:import namespace="http://schemas.microsoft.com/office/2006/documentManagement/types"/>
    <xsd:import namespace="http://schemas.microsoft.com/office/infopath/2007/PartnerControls"/>
    <xsd:element name="Thematic_x0020_Focus" ma:index="2" nillable="true" ma:displayName="Thematic Focus" ma:list="{b8d47e44-77bd-498c-a02c-fb6e3f62fb35}" ma:internalName="Thematic_x0020_Focus" ma:showField="Title" ma:web="08b758c0-7f65-4904-9e43-345858c3c71c">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0fdbe3cc-6b80-43ad-a978-0da023464680}" ma:internalName="TaxCatchAll" ma:showField="CatchAllData" ma:web="08b758c0-7f65-4904-9e43-345858c3c7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dc8c7b-7b5d-4d41-8221-f7960f2ae5bd"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8" nillable="true" ma:displayName="Tags" ma:description="" ma:indexed="true" ma:internalName="MediaServiceAutoTags" ma:readOnly="true">
      <xsd:simpleType>
        <xsd:restriction base="dms:Text"/>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1" nillable="true" ma:displayName="Status Unterschrift" ma:internalName="Status_x0020_Unterschrift">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9b1bd33c-51cd-473d-b064-0ba0784f6672" ma:termSetId="09814cd3-568e-fe90-9814-8d621ff8fb84" ma:anchorId="fba54fb3-c3e1-fe81-a776-ca4b69148c4d" ma:open="true" ma:isKeyword="false">
      <xsd:complexType>
        <xsd:sequence>
          <xsd:element ref="pc:Terms" minOccurs="0" maxOccurs="1"/>
        </xsd:sequence>
      </xsd:complexType>
    </xsd:element>
    <xsd:element name="PII" ma:index="26" nillable="true" ma:displayName="PII" ma:default="0" ma:format="Dropdown" ma:indexed="true" ma:internalName="PII">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hematic_x0020_Focus xmlns="08b758c0-7f65-4904-9e43-345858c3c71c" xsi:nil="true"/>
    <_Flow_SignoffStatus xmlns="24dc8c7b-7b5d-4d41-8221-f7960f2ae5bd" xsi:nil="true"/>
    <TaxCatchAll xmlns="08b758c0-7f65-4904-9e43-345858c3c71c" xsi:nil="true"/>
    <lcf76f155ced4ddcb4097134ff3c332f xmlns="24dc8c7b-7b5d-4d41-8221-f7960f2ae5bd">
      <Terms xmlns="http://schemas.microsoft.com/office/infopath/2007/PartnerControls"/>
    </lcf76f155ced4ddcb4097134ff3c332f>
    <PII xmlns="24dc8c7b-7b5d-4d41-8221-f7960f2ae5bd">false</PII>
  </documentManagement>
</p:properties>
</file>

<file path=customXml/itemProps1.xml><?xml version="1.0" encoding="utf-8"?>
<ds:datastoreItem xmlns:ds="http://schemas.openxmlformats.org/officeDocument/2006/customXml" ds:itemID="{A4E44875-0D14-4CE1-963D-699AAB797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b758c0-7f65-4904-9e43-345858c3c71c"/>
    <ds:schemaRef ds:uri="24dc8c7b-7b5d-4d41-8221-f7960f2ae5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7C3E72-E6CB-413E-81E7-23613E47D569}">
  <ds:schemaRefs>
    <ds:schemaRef ds:uri="http://schemas.microsoft.com/sharepoint/v3/contenttype/forms"/>
  </ds:schemaRefs>
</ds:datastoreItem>
</file>

<file path=customXml/itemProps3.xml><?xml version="1.0" encoding="utf-8"?>
<ds:datastoreItem xmlns:ds="http://schemas.openxmlformats.org/officeDocument/2006/customXml" ds:itemID="{083CA661-FF88-4791-85B2-F80EA589301D}">
  <ds:schemaRefs>
    <ds:schemaRef ds:uri="http://schemas.microsoft.com/office/2006/metadata/properties"/>
    <ds:schemaRef ds:uri="http://schemas.microsoft.com/office/infopath/2007/PartnerControls"/>
    <ds:schemaRef ds:uri="08b758c0-7f65-4904-9e43-345858c3c71c"/>
    <ds:schemaRef ds:uri="24dc8c7b-7b5d-4d41-8221-f7960f2ae5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ToC</vt:lpstr>
      <vt:lpstr>Model input</vt:lpstr>
      <vt:lpstr>SROI</vt:lpstr>
      <vt:lpstr>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Herz, Paul</dc:creator>
  <cp:keywords/>
  <dc:description/>
  <cp:lastModifiedBy>Wiegel, Sarah</cp:lastModifiedBy>
  <cp:revision/>
  <dcterms:created xsi:type="dcterms:W3CDTF">2021-10-12T15:11:17Z</dcterms:created>
  <dcterms:modified xsi:type="dcterms:W3CDTF">2026-07-08T18:56:21Z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0x010100861670E027929440931DC4FF061F9A46</vt:lpwstr>
  </property>
  <property fmtid="{D5CDD505-2E9C-101B-9397-08002B2CF9AE}" pid="3" name="MediaServiceImageTags">
    <vt:lpwstr/>
  </property>
  <property fmtid="{D5CDD505-2E9C-101B-9397-08002B2CF9AE}" pid="4" name="ESRI_WORKBOOK_ID">
    <vt:lpwstr>708ea00b5c3b4468a5f8d71829283aa8</vt:lpwstr>
  </property>
</Properties>
</file>