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herewegrow.sharepoint.com/sites/herewegrow.org/Freigegebene Dokumente/05 Organisation/02 Corporate Communication/01 Websites/01 HWG Website/04 Media Files/Reports/"/>
    </mc:Choice>
  </mc:AlternateContent>
  <xr:revisionPtr revIDLastSave="78" documentId="8_{F79968F1-E157-4B81-8657-6696B163B119}" xr6:coauthVersionLast="47" xr6:coauthVersionMax="47" xr10:uidLastSave="{F494C895-16F6-4083-B016-5686DDB95D85}"/>
  <bookViews>
    <workbookView xWindow="-110" yWindow="-110" windowWidth="19420" windowHeight="10300" tabRatio="635" xr2:uid="{D727DE2A-A20A-4F61-A634-FF4E86980CF5}"/>
  </bookViews>
  <sheets>
    <sheet name="Summary" sheetId="7" r:id="rId1"/>
    <sheet name="SROI" sheetId="2" r:id="rId2"/>
    <sheet name="Assumptions" sheetId="5" r:id="rId3"/>
    <sheet name="Sensitivity Analysis" sheetId="6" r:id="rId4"/>
    <sheet name="Explanations" sheetId="8" r:id="rId5"/>
  </sheets>
  <definedNames>
    <definedName name="_xlnm._FilterDatabase" localSheetId="1" hidden="1">Summary!$F$42:$G$42</definedName>
    <definedName name="_xlnm.Print_Area" localSheetId="1">SROI!$A$1:$AC$124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 l="1"/>
  <c r="F32" i="2"/>
  <c r="G30" i="2"/>
  <c r="C41" i="5" l="1"/>
  <c r="D41" i="5"/>
  <c r="H41" i="5" s="1"/>
  <c r="E41" i="5"/>
  <c r="F41" i="5"/>
  <c r="M41" i="5" s="1"/>
  <c r="G41" i="5"/>
  <c r="O41" i="5"/>
  <c r="C42" i="5"/>
  <c r="D42" i="5"/>
  <c r="E42" i="5"/>
  <c r="F42" i="5"/>
  <c r="G42" i="5"/>
  <c r="G103" i="2"/>
  <c r="E38" i="2"/>
  <c r="F74" i="2" s="1"/>
  <c r="E55" i="2"/>
  <c r="O8" i="2"/>
  <c r="H65" i="2"/>
  <c r="I65" i="2" s="1"/>
  <c r="J65" i="2" s="1"/>
  <c r="K65" i="2" s="1"/>
  <c r="L65" i="2" s="1"/>
  <c r="M65" i="2" s="1"/>
  <c r="N65" i="2" s="1"/>
  <c r="G29" i="2"/>
  <c r="H29" i="2" s="1"/>
  <c r="I29" i="2" s="1"/>
  <c r="J29" i="2" s="1"/>
  <c r="K29" i="2" s="1"/>
  <c r="L29" i="2" s="1"/>
  <c r="M29" i="2" s="1"/>
  <c r="H30" i="2"/>
  <c r="I30" i="2" s="1"/>
  <c r="J30" i="2" s="1"/>
  <c r="K30" i="2" s="1"/>
  <c r="L30" i="2" s="1"/>
  <c r="M30" i="2" s="1"/>
  <c r="E64" i="2"/>
  <c r="F64" i="2"/>
  <c r="G64" i="2"/>
  <c r="H64" i="2" s="1"/>
  <c r="I64" i="2" s="1"/>
  <c r="J64" i="2" s="1"/>
  <c r="K64" i="2" s="1"/>
  <c r="L64" i="2" s="1"/>
  <c r="M64" i="2" s="1"/>
  <c r="N64" i="2" s="1"/>
  <c r="D85" i="2"/>
  <c r="D96" i="2" s="1"/>
  <c r="C85" i="2"/>
  <c r="N95" i="2"/>
  <c r="C47" i="2"/>
  <c r="N41" i="5" l="1"/>
  <c r="K41" i="5"/>
  <c r="L41" i="5"/>
  <c r="J41" i="5"/>
  <c r="I41" i="5"/>
  <c r="M42" i="5"/>
  <c r="H42" i="5"/>
  <c r="K42" i="5"/>
  <c r="O42" i="5"/>
  <c r="N42" i="5"/>
  <c r="L42" i="5"/>
  <c r="J42" i="5"/>
  <c r="I42" i="5"/>
  <c r="C104" i="2" l="1"/>
  <c r="F55" i="2"/>
  <c r="E21" i="2"/>
  <c r="B9" i="2" l="1"/>
  <c r="F56" i="2"/>
  <c r="F59" i="2" s="1"/>
  <c r="E56" i="2"/>
  <c r="E59" i="2" l="1"/>
  <c r="E22" i="2"/>
  <c r="O10" i="2" l="1"/>
  <c r="O9" i="2"/>
  <c r="R28" i="2" l="1"/>
  <c r="E25" i="5"/>
  <c r="C25" i="5"/>
  <c r="E25" i="2"/>
  <c r="H40" i="5" l="1"/>
  <c r="I40" i="5"/>
  <c r="J40" i="5"/>
  <c r="K40" i="5"/>
  <c r="L40" i="5"/>
  <c r="M40" i="5"/>
  <c r="N40" i="5"/>
  <c r="O40" i="5"/>
  <c r="G55" i="2" l="1"/>
  <c r="G56" i="2" s="1"/>
  <c r="G59" i="2" s="1"/>
  <c r="F21" i="2"/>
  <c r="F22" i="2" s="1"/>
  <c r="F25" i="2" s="1"/>
  <c r="H55" i="2" l="1"/>
  <c r="H56" i="2" s="1"/>
  <c r="H59" i="2" s="1"/>
  <c r="G21" i="2"/>
  <c r="G22" i="2" s="1"/>
  <c r="G25" i="2" s="1"/>
  <c r="I55" i="2" l="1"/>
  <c r="I56" i="2" s="1"/>
  <c r="I59" i="2" s="1"/>
  <c r="H21" i="2"/>
  <c r="H22" i="2" s="1"/>
  <c r="J55" i="2" l="1"/>
  <c r="J56" i="2" s="1"/>
  <c r="J59" i="2" s="1"/>
  <c r="I21" i="2"/>
  <c r="I22" i="2" s="1"/>
  <c r="K55" i="2" l="1"/>
  <c r="K56" i="2" s="1"/>
  <c r="K59" i="2" s="1"/>
  <c r="J21" i="2"/>
  <c r="J22" i="2" s="1"/>
  <c r="L55" i="2" l="1"/>
  <c r="L56" i="2" s="1"/>
  <c r="L59" i="2" s="1"/>
  <c r="K21" i="2"/>
  <c r="K22" i="2" s="1"/>
  <c r="M55" i="2" l="1"/>
  <c r="M56" i="2" s="1"/>
  <c r="M59" i="2" s="1"/>
  <c r="L21" i="2"/>
  <c r="L22" i="2" s="1"/>
  <c r="N55" i="2" l="1"/>
  <c r="M21" i="2"/>
  <c r="M22" i="2" s="1"/>
  <c r="N56" i="2" l="1"/>
  <c r="N59" i="2" s="1"/>
  <c r="C105" i="2" l="1"/>
  <c r="E104" i="2"/>
  <c r="E105" i="2" s="1"/>
  <c r="F104" i="2"/>
  <c r="F105" i="2" s="1"/>
  <c r="C34" i="5" l="1"/>
  <c r="D34" i="5"/>
  <c r="E34" i="5"/>
  <c r="F34" i="5"/>
  <c r="G34" i="5"/>
  <c r="H34" i="5"/>
  <c r="I34" i="5"/>
  <c r="J34" i="5"/>
  <c r="K34" i="5"/>
  <c r="E66" i="2" l="1"/>
  <c r="E57" i="2" l="1"/>
  <c r="D24" i="5" l="1"/>
  <c r="D25" i="5" s="1"/>
  <c r="C19" i="5"/>
  <c r="C18" i="5"/>
  <c r="J25" i="5" l="1"/>
  <c r="M25" i="5"/>
  <c r="N25" i="5"/>
  <c r="K25" i="5"/>
  <c r="I25" i="5"/>
  <c r="O25" i="5"/>
  <c r="G25" i="5"/>
  <c r="F25" i="5"/>
  <c r="E58" i="2" s="1"/>
  <c r="E60" i="2" s="1"/>
  <c r="E61" i="2" s="1"/>
  <c r="E62" i="2" s="1"/>
  <c r="L25" i="5"/>
  <c r="H25" i="5"/>
  <c r="E39" i="2"/>
  <c r="O24" i="5"/>
  <c r="F24" i="5"/>
  <c r="G24" i="5"/>
  <c r="I24" i="5"/>
  <c r="H24" i="5"/>
  <c r="J24" i="5"/>
  <c r="N24" i="5"/>
  <c r="M24" i="5"/>
  <c r="L24" i="5"/>
  <c r="K24" i="5"/>
  <c r="E40" i="2" l="1"/>
  <c r="E41" i="2" s="1"/>
  <c r="F39" i="2"/>
  <c r="E63" i="2"/>
  <c r="G39" i="2" l="1"/>
  <c r="F40" i="2"/>
  <c r="F41" i="2" s="1"/>
  <c r="G104" i="2"/>
  <c r="G105" i="2" s="1"/>
  <c r="AB56" i="2"/>
  <c r="H39" i="2" l="1"/>
  <c r="G40" i="2"/>
  <c r="G41" i="2" s="1"/>
  <c r="H25" i="2"/>
  <c r="I25" i="2"/>
  <c r="J25" i="2"/>
  <c r="K25" i="2"/>
  <c r="L25" i="2"/>
  <c r="M25" i="2"/>
  <c r="F75" i="2"/>
  <c r="F57" i="2"/>
  <c r="F58" i="2" s="1"/>
  <c r="F60" i="2" s="1"/>
  <c r="H40" i="2" l="1"/>
  <c r="H41" i="2" s="1"/>
  <c r="I39" i="2"/>
  <c r="F76" i="2"/>
  <c r="F77" i="2" s="1"/>
  <c r="F78" i="2" s="1"/>
  <c r="F61" i="2"/>
  <c r="F62" i="2" s="1"/>
  <c r="F63" i="2" s="1"/>
  <c r="D25" i="2"/>
  <c r="D23" i="2"/>
  <c r="D24" i="2" s="1"/>
  <c r="G75" i="2"/>
  <c r="E23" i="2"/>
  <c r="E24" i="2" s="1"/>
  <c r="G57" i="2"/>
  <c r="G58" i="2" s="1"/>
  <c r="G60" i="2" s="1"/>
  <c r="F23" i="2"/>
  <c r="F24" i="2" s="1"/>
  <c r="I40" i="2" l="1"/>
  <c r="I41" i="2" s="1"/>
  <c r="J39" i="2"/>
  <c r="G76" i="2"/>
  <c r="G77" i="2" s="1"/>
  <c r="G78" i="2" s="1"/>
  <c r="G61" i="2"/>
  <c r="G62" i="2" s="1"/>
  <c r="G63" i="2" s="1"/>
  <c r="H75" i="2"/>
  <c r="H57" i="2"/>
  <c r="H58" i="2" s="1"/>
  <c r="H60" i="2" s="1"/>
  <c r="G23" i="2"/>
  <c r="G24" i="2" s="1"/>
  <c r="K39" i="2" l="1"/>
  <c r="J40" i="2"/>
  <c r="J41" i="2" s="1"/>
  <c r="H76" i="2"/>
  <c r="H77" i="2" s="1"/>
  <c r="H78" i="2" s="1"/>
  <c r="H61" i="2"/>
  <c r="H62" i="2" s="1"/>
  <c r="H63" i="2" s="1"/>
  <c r="I75" i="2"/>
  <c r="I57" i="2"/>
  <c r="I58" i="2" s="1"/>
  <c r="I60" i="2" s="1"/>
  <c r="H23" i="2"/>
  <c r="H24" i="2" s="1"/>
  <c r="K40" i="2" l="1"/>
  <c r="K41" i="2" s="1"/>
  <c r="L39" i="2"/>
  <c r="I76" i="2"/>
  <c r="I77" i="2" s="1"/>
  <c r="I78" i="2" s="1"/>
  <c r="I61" i="2"/>
  <c r="I62" i="2" s="1"/>
  <c r="I63" i="2" s="1"/>
  <c r="J75" i="2"/>
  <c r="J57" i="2"/>
  <c r="J58" i="2" s="1"/>
  <c r="J60" i="2" s="1"/>
  <c r="I23" i="2"/>
  <c r="I24" i="2" s="1"/>
  <c r="R23" i="2"/>
  <c r="L40" i="2" l="1"/>
  <c r="L41" i="2" s="1"/>
  <c r="F45" i="7" s="1"/>
  <c r="M39" i="2"/>
  <c r="M40" i="2" s="1"/>
  <c r="M41" i="2" s="1"/>
  <c r="J76" i="2"/>
  <c r="J77" i="2" s="1"/>
  <c r="J78" i="2" s="1"/>
  <c r="J61" i="2"/>
  <c r="J62" i="2" s="1"/>
  <c r="J63" i="2" s="1"/>
  <c r="K75" i="2"/>
  <c r="K57" i="2"/>
  <c r="K58" i="2" s="1"/>
  <c r="K60" i="2" s="1"/>
  <c r="J23" i="2"/>
  <c r="J24" i="2" s="1"/>
  <c r="K76" i="2" l="1"/>
  <c r="K77" i="2" s="1"/>
  <c r="K78" i="2" s="1"/>
  <c r="K61" i="2"/>
  <c r="K62" i="2" s="1"/>
  <c r="K63" i="2" s="1"/>
  <c r="L75" i="2"/>
  <c r="L57" i="2"/>
  <c r="L58" i="2" s="1"/>
  <c r="L60" i="2" s="1"/>
  <c r="K23" i="2"/>
  <c r="K24" i="2" s="1"/>
  <c r="J26" i="2"/>
  <c r="L76" i="2" l="1"/>
  <c r="L77" i="2" s="1"/>
  <c r="L78" i="2" s="1"/>
  <c r="L61" i="2"/>
  <c r="L62" i="2" s="1"/>
  <c r="L63" i="2" s="1"/>
  <c r="J27" i="2"/>
  <c r="J28" i="2" s="1"/>
  <c r="M75" i="2"/>
  <c r="M57" i="2"/>
  <c r="M58" i="2" s="1"/>
  <c r="M60" i="2" s="1"/>
  <c r="L23" i="2"/>
  <c r="L24" i="2" s="1"/>
  <c r="G66" i="2"/>
  <c r="F66" i="2"/>
  <c r="M76" i="2" l="1"/>
  <c r="M77" i="2" s="1"/>
  <c r="M78" i="2" s="1"/>
  <c r="M61" i="2"/>
  <c r="M62" i="2" s="1"/>
  <c r="M63" i="2" s="1"/>
  <c r="N75" i="2"/>
  <c r="N76" i="2" s="1"/>
  <c r="N77" i="2" s="1"/>
  <c r="N57" i="2"/>
  <c r="N58" i="2" s="1"/>
  <c r="N60" i="2" s="1"/>
  <c r="N61" i="2" l="1"/>
  <c r="N62" i="2" s="1"/>
  <c r="N63" i="2" s="1"/>
  <c r="G43" i="7" s="1"/>
  <c r="N78" i="2"/>
  <c r="G45" i="7" s="1"/>
  <c r="M23" i="2"/>
  <c r="M24" i="2" s="1"/>
  <c r="C13" i="7"/>
  <c r="N66" i="2"/>
  <c r="R64" i="2"/>
  <c r="M66" i="2"/>
  <c r="AA56" i="2" s="1"/>
  <c r="L66" i="2"/>
  <c r="Z56" i="2" s="1"/>
  <c r="K66" i="2"/>
  <c r="Y56" i="2" s="1"/>
  <c r="J66" i="2"/>
  <c r="X56" i="2" s="1"/>
  <c r="I66" i="2"/>
  <c r="W56" i="2" s="1"/>
  <c r="H66" i="2"/>
  <c r="V56" i="2" s="1"/>
  <c r="R63" i="2"/>
  <c r="S64" i="2" s="1"/>
  <c r="R62" i="2"/>
  <c r="S63" i="2" s="1"/>
  <c r="T64" i="2" s="1"/>
  <c r="R61" i="2"/>
  <c r="S62" i="2" s="1"/>
  <c r="T63" i="2" s="1"/>
  <c r="U64" i="2" s="1"/>
  <c r="R60" i="2"/>
  <c r="S61" i="2" s="1"/>
  <c r="T62" i="2" s="1"/>
  <c r="U63" i="2" s="1"/>
  <c r="V64" i="2" s="1"/>
  <c r="R59" i="2"/>
  <c r="S60" i="2" s="1"/>
  <c r="T61" i="2" s="1"/>
  <c r="U62" i="2" s="1"/>
  <c r="V63" i="2" s="1"/>
  <c r="W64" i="2" s="1"/>
  <c r="R58" i="2"/>
  <c r="S59" i="2" s="1"/>
  <c r="T60" i="2" s="1"/>
  <c r="U61" i="2" s="1"/>
  <c r="V62" i="2" s="1"/>
  <c r="W63" i="2" s="1"/>
  <c r="X64" i="2" s="1"/>
  <c r="R57" i="2"/>
  <c r="S58" i="2" s="1"/>
  <c r="T59" i="2" s="1"/>
  <c r="U60" i="2" s="1"/>
  <c r="V61" i="2" s="1"/>
  <c r="W62" i="2" s="1"/>
  <c r="X63" i="2" s="1"/>
  <c r="Y64" i="2" s="1"/>
  <c r="D104" i="2" l="1"/>
  <c r="AB57" i="2"/>
  <c r="Z57" i="2"/>
  <c r="AA58" i="2" s="1"/>
  <c r="AB59" i="2" s="1"/>
  <c r="AA57" i="2"/>
  <c r="AB58" i="2" s="1"/>
  <c r="R65" i="2"/>
  <c r="X57" i="2"/>
  <c r="Y58" i="2" s="1"/>
  <c r="Z59" i="2" s="1"/>
  <c r="AA60" i="2" s="1"/>
  <c r="AB61" i="2" s="1"/>
  <c r="Y57" i="2"/>
  <c r="Z58" i="2" s="1"/>
  <c r="AA59" i="2" s="1"/>
  <c r="AB60" i="2" s="1"/>
  <c r="S57" i="2"/>
  <c r="T58" i="2" s="1"/>
  <c r="U59" i="2" s="1"/>
  <c r="V60" i="2" s="1"/>
  <c r="W61" i="2" s="1"/>
  <c r="X62" i="2" s="1"/>
  <c r="Y63" i="2" s="1"/>
  <c r="Z64" i="2" s="1"/>
  <c r="W57" i="2"/>
  <c r="X58" i="2" s="1"/>
  <c r="Y59" i="2" s="1"/>
  <c r="Z60" i="2" s="1"/>
  <c r="AA61" i="2" s="1"/>
  <c r="AB62" i="2" s="1"/>
  <c r="D105" i="2" l="1"/>
  <c r="M31" i="2"/>
  <c r="AA22" i="2" s="1"/>
  <c r="S24" i="2"/>
  <c r="T25" i="2" s="1"/>
  <c r="U26" i="2" s="1"/>
  <c r="V27" i="2" s="1"/>
  <c r="R24" i="2"/>
  <c r="S25" i="2" s="1"/>
  <c r="T26" i="2" s="1"/>
  <c r="U27" i="2" s="1"/>
  <c r="R25" i="2"/>
  <c r="S26" i="2" s="1"/>
  <c r="T27" i="2" s="1"/>
  <c r="R26" i="2"/>
  <c r="S27" i="2" s="1"/>
  <c r="R27" i="2"/>
  <c r="S29" i="2"/>
  <c r="T30" i="2" s="1"/>
  <c r="R29" i="2"/>
  <c r="S30" i="2" s="1"/>
  <c r="R30" i="2"/>
  <c r="E31" i="2"/>
  <c r="F31" i="2"/>
  <c r="G31" i="2"/>
  <c r="U22" i="2" s="1"/>
  <c r="H31" i="2"/>
  <c r="V22" i="2" s="1"/>
  <c r="I31" i="2"/>
  <c r="W22" i="2" s="1"/>
  <c r="J31" i="2"/>
  <c r="X22" i="2" s="1"/>
  <c r="K31" i="2"/>
  <c r="Y22" i="2" s="1"/>
  <c r="L31" i="2"/>
  <c r="Z22" i="2" s="1"/>
  <c r="D31" i="2"/>
  <c r="R22" i="2" s="1"/>
  <c r="B107" i="2" l="1"/>
  <c r="B108" i="2" s="1"/>
  <c r="W28" i="2"/>
  <c r="X29" i="2" s="1"/>
  <c r="Y30" i="2" s="1"/>
  <c r="T28" i="2"/>
  <c r="U29" i="2" s="1"/>
  <c r="V30" i="2" s="1"/>
  <c r="S28" i="2"/>
  <c r="T29" i="2" s="1"/>
  <c r="U30" i="2" s="1"/>
  <c r="U28" i="2"/>
  <c r="V29" i="2" s="1"/>
  <c r="W30" i="2" s="1"/>
  <c r="V28" i="2"/>
  <c r="W29" i="2" s="1"/>
  <c r="X30" i="2" s="1"/>
  <c r="R31" i="2"/>
  <c r="D32" i="2" s="1"/>
  <c r="D33" i="2" s="1"/>
  <c r="AA23" i="2"/>
  <c r="Z23" i="2"/>
  <c r="AA24" i="2" s="1"/>
  <c r="Y23" i="2"/>
  <c r="Z24" i="2" s="1"/>
  <c r="AA25" i="2" s="1"/>
  <c r="X23" i="2"/>
  <c r="Y24" i="2" s="1"/>
  <c r="Z25" i="2" s="1"/>
  <c r="AA26" i="2" s="1"/>
  <c r="W23" i="2"/>
  <c r="X24" i="2" s="1"/>
  <c r="Y25" i="2" s="1"/>
  <c r="Z26" i="2" s="1"/>
  <c r="AA27" i="2" s="1"/>
  <c r="V23" i="2"/>
  <c r="W24" i="2" s="1"/>
  <c r="X25" i="2" s="1"/>
  <c r="S22" i="2"/>
  <c r="T22" i="2"/>
  <c r="D34" i="2" l="1"/>
  <c r="D35" i="2" s="1"/>
  <c r="D36" i="2" s="1"/>
  <c r="D44" i="2"/>
  <c r="D45" i="2" s="1"/>
  <c r="D46" i="2" s="1"/>
  <c r="C47" i="7"/>
  <c r="D64" i="7"/>
  <c r="S23" i="2"/>
  <c r="T24" i="2" s="1"/>
  <c r="U23" i="2"/>
  <c r="T23" i="2"/>
  <c r="U24" i="2" s="1"/>
  <c r="V25" i="2" s="1"/>
  <c r="W26" i="2" s="1"/>
  <c r="X27" i="2" s="1"/>
  <c r="Y26" i="2"/>
  <c r="D37" i="2" l="1"/>
  <c r="Y28" i="2"/>
  <c r="Z29" i="2" s="1"/>
  <c r="AA30" i="2" s="1"/>
  <c r="T31" i="2"/>
  <c r="S31" i="2"/>
  <c r="E32" i="2" s="1"/>
  <c r="M26" i="2"/>
  <c r="V24" i="2"/>
  <c r="U25" i="2"/>
  <c r="U31" i="2" s="1"/>
  <c r="Z27" i="2"/>
  <c r="AA28" i="2" s="1"/>
  <c r="M27" i="2" l="1"/>
  <c r="M28" i="2" s="1"/>
  <c r="F33" i="2"/>
  <c r="F34" i="2" s="1"/>
  <c r="F35" i="2" s="1"/>
  <c r="F44" i="2"/>
  <c r="F45" i="2" s="1"/>
  <c r="F46" i="2" s="1"/>
  <c r="E33" i="2"/>
  <c r="E34" i="2" s="1"/>
  <c r="E35" i="2" s="1"/>
  <c r="E44" i="2"/>
  <c r="E45" i="2" s="1"/>
  <c r="E46" i="2" s="1"/>
  <c r="W25" i="2"/>
  <c r="G32" i="2"/>
  <c r="V26" i="2"/>
  <c r="V31" i="2" s="1"/>
  <c r="E36" i="2" l="1"/>
  <c r="E37" i="2" s="1"/>
  <c r="F36" i="2"/>
  <c r="F37" i="2" s="1"/>
  <c r="G33" i="2"/>
  <c r="G34" i="2" s="1"/>
  <c r="G35" i="2" s="1"/>
  <c r="G44" i="2"/>
  <c r="G45" i="2" s="1"/>
  <c r="G46" i="2" s="1"/>
  <c r="X26" i="2"/>
  <c r="H32" i="2"/>
  <c r="W27" i="2"/>
  <c r="G36" i="2" l="1"/>
  <c r="G37" i="2" s="1"/>
  <c r="H33" i="2"/>
  <c r="H34" i="2" s="1"/>
  <c r="H35" i="2" s="1"/>
  <c r="H44" i="2"/>
  <c r="H45" i="2" s="1"/>
  <c r="H46" i="2" s="1"/>
  <c r="W31" i="2"/>
  <c r="I32" i="2" s="1"/>
  <c r="X28" i="2"/>
  <c r="X31" i="2" s="1"/>
  <c r="Y27" i="2"/>
  <c r="Z28" i="2" s="1"/>
  <c r="H36" i="2" l="1"/>
  <c r="H37" i="2" s="1"/>
  <c r="I33" i="2"/>
  <c r="I34" i="2" s="1"/>
  <c r="I35" i="2" s="1"/>
  <c r="I44" i="2"/>
  <c r="I45" i="2" s="1"/>
  <c r="I46" i="2" s="1"/>
  <c r="J32" i="2"/>
  <c r="Y29" i="2"/>
  <c r="Y31" i="2" s="1"/>
  <c r="I36" i="2" l="1"/>
  <c r="I37" i="2" s="1"/>
  <c r="J33" i="2"/>
  <c r="J34" i="2" s="1"/>
  <c r="J35" i="2" s="1"/>
  <c r="J44" i="2"/>
  <c r="J45" i="2" s="1"/>
  <c r="J46" i="2" s="1"/>
  <c r="K32" i="2"/>
  <c r="Z30" i="2"/>
  <c r="AA29" i="2"/>
  <c r="J36" i="2" l="1"/>
  <c r="J37" i="2" s="1"/>
  <c r="J47" i="2" s="1"/>
  <c r="J95" i="2" s="1"/>
  <c r="K33" i="2"/>
  <c r="K34" i="2" s="1"/>
  <c r="K35" i="2" s="1"/>
  <c r="K44" i="2"/>
  <c r="K45" i="2" s="1"/>
  <c r="K46" i="2" s="1"/>
  <c r="AA31" i="2"/>
  <c r="M32" i="2" s="1"/>
  <c r="Z31" i="2"/>
  <c r="L32" i="2" s="1"/>
  <c r="K36" i="2" l="1"/>
  <c r="K37" i="2" s="1"/>
  <c r="M33" i="2"/>
  <c r="M34" i="2" s="1"/>
  <c r="M35" i="2" s="1"/>
  <c r="M44" i="2"/>
  <c r="M45" i="2" s="1"/>
  <c r="M46" i="2" s="1"/>
  <c r="L33" i="2"/>
  <c r="L34" i="2" s="1"/>
  <c r="L35" i="2" s="1"/>
  <c r="L44" i="2"/>
  <c r="L45" i="2" s="1"/>
  <c r="L46" i="2" s="1"/>
  <c r="F46" i="7" s="1"/>
  <c r="L26" i="2"/>
  <c r="I26" i="2"/>
  <c r="H26" i="2"/>
  <c r="K26" i="2"/>
  <c r="E26" i="2"/>
  <c r="G26" i="2"/>
  <c r="D26" i="2"/>
  <c r="F26" i="2"/>
  <c r="L36" i="2" l="1"/>
  <c r="L37" i="2" s="1"/>
  <c r="M36" i="2"/>
  <c r="M37" i="2" s="1"/>
  <c r="M47" i="2" s="1"/>
  <c r="M95" i="2" s="1"/>
  <c r="L27" i="2"/>
  <c r="L28" i="2" s="1"/>
  <c r="G27" i="2"/>
  <c r="G28" i="2" s="1"/>
  <c r="G47" i="2" s="1"/>
  <c r="G95" i="2" s="1"/>
  <c r="H27" i="2"/>
  <c r="H28" i="2" s="1"/>
  <c r="H47" i="2" s="1"/>
  <c r="H95" i="2" s="1"/>
  <c r="I27" i="2"/>
  <c r="I28" i="2" s="1"/>
  <c r="I47" i="2" s="1"/>
  <c r="I95" i="2" s="1"/>
  <c r="F27" i="2"/>
  <c r="F28" i="2" s="1"/>
  <c r="F47" i="2" s="1"/>
  <c r="F95" i="2" s="1"/>
  <c r="D27" i="2"/>
  <c r="D28" i="2" s="1"/>
  <c r="E27" i="2"/>
  <c r="E28" i="2" s="1"/>
  <c r="E47" i="2" s="1"/>
  <c r="E95" i="2" s="1"/>
  <c r="K27" i="2"/>
  <c r="K28" i="2" s="1"/>
  <c r="K47" i="2" s="1"/>
  <c r="K95" i="2" s="1"/>
  <c r="U56" i="2"/>
  <c r="T56" i="2"/>
  <c r="S56" i="2"/>
  <c r="D47" i="2" l="1"/>
  <c r="F43" i="7"/>
  <c r="F44" i="7"/>
  <c r="F47" i="7" s="1"/>
  <c r="L47" i="2"/>
  <c r="L95" i="2" s="1"/>
  <c r="U57" i="2"/>
  <c r="V58" i="2" s="1"/>
  <c r="W59" i="2" s="1"/>
  <c r="X60" i="2" s="1"/>
  <c r="Y61" i="2" s="1"/>
  <c r="Z62" i="2" s="1"/>
  <c r="AA63" i="2" s="1"/>
  <c r="AB64" i="2" s="1"/>
  <c r="S65" i="2"/>
  <c r="E67" i="2" s="1"/>
  <c r="E81" i="2" s="1"/>
  <c r="V57" i="2"/>
  <c r="W58" i="2" s="1"/>
  <c r="T57" i="2"/>
  <c r="T65" i="2" s="1"/>
  <c r="D95" i="2" l="1"/>
  <c r="D97" i="2" s="1"/>
  <c r="C49" i="2"/>
  <c r="B111" i="2"/>
  <c r="E82" i="2"/>
  <c r="E83" i="2" s="1"/>
  <c r="E68" i="2"/>
  <c r="E69" i="2" s="1"/>
  <c r="X59" i="2"/>
  <c r="U58" i="2"/>
  <c r="U65" i="2" s="1"/>
  <c r="F67" i="2"/>
  <c r="E84" i="2" l="1"/>
  <c r="F68" i="2"/>
  <c r="F69" i="2" s="1"/>
  <c r="F81" i="2"/>
  <c r="F82" i="2" s="1"/>
  <c r="F83" i="2" s="1"/>
  <c r="C44" i="7"/>
  <c r="Y60" i="2"/>
  <c r="V59" i="2"/>
  <c r="V65" i="2" s="1"/>
  <c r="G67" i="2"/>
  <c r="F84" i="2" l="1"/>
  <c r="F70" i="2"/>
  <c r="F71" i="2" s="1"/>
  <c r="F72" i="2" s="1"/>
  <c r="E70" i="2"/>
  <c r="G68" i="2"/>
  <c r="G69" i="2" s="1"/>
  <c r="G81" i="2"/>
  <c r="G82" i="2" s="1"/>
  <c r="G83" i="2" s="1"/>
  <c r="Z61" i="2"/>
  <c r="W60" i="2"/>
  <c r="W65" i="2" s="1"/>
  <c r="H67" i="2"/>
  <c r="E71" i="2" l="1"/>
  <c r="E72" i="2" s="1"/>
  <c r="E73" i="2" s="1"/>
  <c r="F73" i="2"/>
  <c r="F85" i="2" s="1"/>
  <c r="F96" i="2" s="1"/>
  <c r="F97" i="2" s="1"/>
  <c r="G84" i="2"/>
  <c r="G70" i="2"/>
  <c r="G71" i="2" s="1"/>
  <c r="G72" i="2" s="1"/>
  <c r="H68" i="2"/>
  <c r="H69" i="2" s="1"/>
  <c r="H81" i="2"/>
  <c r="H82" i="2" s="1"/>
  <c r="H83" i="2" s="1"/>
  <c r="AA62" i="2"/>
  <c r="X61" i="2"/>
  <c r="X65" i="2" s="1"/>
  <c r="I67" i="2"/>
  <c r="E85" i="2" l="1"/>
  <c r="E96" i="2" s="1"/>
  <c r="E97" i="2" s="1"/>
  <c r="H84" i="2"/>
  <c r="G73" i="2"/>
  <c r="G85" i="2" s="1"/>
  <c r="G96" i="2" s="1"/>
  <c r="G97" i="2" s="1"/>
  <c r="H70" i="2"/>
  <c r="H71" i="2" s="1"/>
  <c r="H72" i="2" s="1"/>
  <c r="I68" i="2"/>
  <c r="I69" i="2" s="1"/>
  <c r="I70" i="2" s="1"/>
  <c r="I81" i="2"/>
  <c r="I82" i="2" s="1"/>
  <c r="I83" i="2" s="1"/>
  <c r="AB63" i="2"/>
  <c r="J67" i="2"/>
  <c r="Y62" i="2"/>
  <c r="Y65" i="2" s="1"/>
  <c r="I71" i="2" l="1"/>
  <c r="I72" i="2" s="1"/>
  <c r="I73" i="2" s="1"/>
  <c r="H73" i="2"/>
  <c r="H85" i="2" s="1"/>
  <c r="H96" i="2" s="1"/>
  <c r="H97" i="2" s="1"/>
  <c r="I84" i="2"/>
  <c r="J68" i="2"/>
  <c r="J69" i="2" s="1"/>
  <c r="J81" i="2"/>
  <c r="J82" i="2" s="1"/>
  <c r="J83" i="2" s="1"/>
  <c r="AB65" i="2"/>
  <c r="N67" i="2" s="1"/>
  <c r="K67" i="2"/>
  <c r="Z63" i="2"/>
  <c r="Z65" i="2" s="1"/>
  <c r="I85" i="2" l="1"/>
  <c r="I96" i="2" s="1"/>
  <c r="I97" i="2" s="1"/>
  <c r="J84" i="2"/>
  <c r="J70" i="2"/>
  <c r="J71" i="2" s="1"/>
  <c r="J72" i="2" s="1"/>
  <c r="N68" i="2"/>
  <c r="N69" i="2" s="1"/>
  <c r="N70" i="2" s="1"/>
  <c r="N81" i="2"/>
  <c r="N82" i="2" s="1"/>
  <c r="N83" i="2" s="1"/>
  <c r="K68" i="2"/>
  <c r="K69" i="2" s="1"/>
  <c r="K81" i="2"/>
  <c r="K82" i="2" s="1"/>
  <c r="K83" i="2" s="1"/>
  <c r="AA64" i="2"/>
  <c r="AA65" i="2" s="1"/>
  <c r="L67" i="2"/>
  <c r="N71" i="2" l="1"/>
  <c r="N72" i="2" s="1"/>
  <c r="N73" i="2" s="1"/>
  <c r="J73" i="2"/>
  <c r="K84" i="2"/>
  <c r="N84" i="2"/>
  <c r="K70" i="2"/>
  <c r="K71" i="2" s="1"/>
  <c r="K72" i="2" s="1"/>
  <c r="L68" i="2"/>
  <c r="L69" i="2" s="1"/>
  <c r="L70" i="2" s="1"/>
  <c r="L81" i="2"/>
  <c r="L82" i="2" s="1"/>
  <c r="L83" i="2" s="1"/>
  <c r="M67" i="2"/>
  <c r="J85" i="2" l="1"/>
  <c r="J96" i="2" s="1"/>
  <c r="J97" i="2" s="1"/>
  <c r="N85" i="2"/>
  <c r="N96" i="2" s="1"/>
  <c r="N97" i="2" s="1"/>
  <c r="L71" i="2"/>
  <c r="L72" i="2" s="1"/>
  <c r="L73" i="2" s="1"/>
  <c r="K73" i="2"/>
  <c r="K85" i="2" s="1"/>
  <c r="K96" i="2" s="1"/>
  <c r="K97" i="2" s="1"/>
  <c r="L84" i="2"/>
  <c r="M68" i="2"/>
  <c r="M69" i="2" s="1"/>
  <c r="M81" i="2"/>
  <c r="M82" i="2" s="1"/>
  <c r="M83" i="2" s="1"/>
  <c r="L85" i="2" l="1"/>
  <c r="L96" i="2" s="1"/>
  <c r="L97" i="2" s="1"/>
  <c r="M84" i="2"/>
  <c r="G46" i="7" s="1"/>
  <c r="M70" i="2"/>
  <c r="M71" i="2" s="1"/>
  <c r="M72" i="2" s="1"/>
  <c r="D62" i="7"/>
  <c r="M73" i="2" l="1"/>
  <c r="G44" i="7" s="1"/>
  <c r="G47" i="7" s="1"/>
  <c r="M85" i="2" l="1"/>
  <c r="C87" i="2" l="1"/>
  <c r="C45" i="7" s="1"/>
  <c r="M96" i="2"/>
  <c r="M97" i="2" l="1"/>
  <c r="B112" i="2"/>
  <c r="D63" i="7" s="1"/>
  <c r="B115" i="2" l="1"/>
  <c r="D65" i="7" s="1"/>
  <c r="B113" i="2"/>
  <c r="C46" i="7" l="1"/>
  <c r="C48" i="7" s="1"/>
  <c r="B114" i="2"/>
  <c r="B116" i="2"/>
  <c r="D66" i="7" s="1"/>
  <c r="B121" i="2"/>
  <c r="C2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tc={091E9335-EEC7-4E61-8429-F70C588A699A}</author>
    <author>tc={139F4E7C-E06E-445B-B894-0054E7D50D3C}</author>
    <author>tc={555F6E6C-CD0D-4FF1-833A-23B2E29F2200}</author>
    <author>tc={3FFD43D1-4214-43D4-AE83-D6FDDB7637F4}</author>
    <author>tc={FBA5C1E7-50DA-4A5C-9A08-0247DCC36EB1}</author>
    <author>tc={4A06939C-1328-48EF-8B6D-75D376692E84}</author>
  </authors>
  <commentList>
    <comment ref="B22" authorId="0" shapeId="0" xr:uid="{091E9335-EEC7-4E61-8429-F70C588A699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Following UCAT, we assume a linear decay in farmers' practice adoption by 7.3% of the initial improvement per year; Share of HH adopting additional 2 BP = 34% 
Endline C22, p. 38</t>
      </text>
    </comment>
    <comment ref="B32" authorId="1" shapeId="0" xr:uid="{139F4E7C-E06E-445B-B894-0054E7D50D3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Following UCAT, we assume a linear decay in farmers' practice adoption by 7.3% of the initial improvement per year; Share of HH adopting additional 2 BP = 34% 
Endline C22, p. 38</t>
      </text>
    </comment>
    <comment ref="B56" authorId="2" shapeId="0" xr:uid="{555F6E6C-CD0D-4FF1-833A-23B2E29F22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Following UCAT, we assume a linear decay in farmers' practice adoption by 7.3% of the initial improvement per year; Share of HH adopting additional 2 BP = 34% 
Endline C22, p. 38</t>
      </text>
    </comment>
    <comment ref="F64" authorId="3" shapeId="0" xr:uid="{3FFD43D1-4214-43D4-AE83-D6FDDB7637F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From Technoserve Stumping Verification Report</t>
      </text>
    </comment>
    <comment ref="B67" authorId="4" shapeId="0" xr:uid="{FBA5C1E7-50DA-4A5C-9A08-0247DCC36EB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Following UCAT, we assume a linear decay in farmers' practice adoption by 7.3% of the initial improvement per year; Share of HH adopting additional 2 BP = 34% 
Endline C22, p. 38</t>
      </text>
    </comment>
    <comment ref="G103" authorId="5" shapeId="0" xr:uid="{4A06939C-1328-48EF-8B6D-75D376692E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+ 400k € funding for second round of incentives
Antwort:
    HereWeGrow: EUR LAST INVOICE MISSING 417920 Annual Budget PLAN for 2025 (estimated based on preliminary 2024 financial close)
Enveritas: EUR 309,743 (funding is provided in US $ and the Euro figure is estimated based on current exchange rates)
Private Donor: EUR 99,963 (funding is provided in US $ and the Euro figure is estimated based on current exchange rates) 
Antwort:
    HereWeGrow amount has to be adjusted once we have the final invoice</t>
      </text>
    </comment>
  </commentList>
</comments>
</file>

<file path=xl/sharedStrings.xml><?xml version="1.0" encoding="utf-8"?>
<sst xmlns="http://schemas.openxmlformats.org/spreadsheetml/2006/main" count="451" uniqueCount="245">
  <si>
    <t>HWG Impact Model:</t>
  </si>
  <si>
    <t>Jimma Coffee Program</t>
  </si>
  <si>
    <t>Overview</t>
  </si>
  <si>
    <t>Project name</t>
  </si>
  <si>
    <t>Implementing partner</t>
  </si>
  <si>
    <t>TechnoServe</t>
  </si>
  <si>
    <t>Evaluation partner</t>
  </si>
  <si>
    <t>IFPRI</t>
  </si>
  <si>
    <t>C4ED</t>
  </si>
  <si>
    <t>Project country</t>
  </si>
  <si>
    <t>Ethiopia</t>
  </si>
  <si>
    <t>Project region</t>
  </si>
  <si>
    <t>Jimma Zone (Gumay, Goma, Gera Woredas)</t>
  </si>
  <si>
    <t>Project duration</t>
  </si>
  <si>
    <t>09/2021 - 04/2025</t>
  </si>
  <si>
    <t>Objective</t>
  </si>
  <si>
    <t>Budget (2025 nominal EUR)</t>
  </si>
  <si>
    <t>Outreach</t>
  </si>
  <si>
    <t>Date of Analysis / Version</t>
  </si>
  <si>
    <t>Author</t>
  </si>
  <si>
    <t>Marlene Gutiérrez</t>
  </si>
  <si>
    <t>SROI</t>
  </si>
  <si>
    <t>Total SROI</t>
  </si>
  <si>
    <t>Type</t>
  </si>
  <si>
    <t>Semi-Forecast</t>
  </si>
  <si>
    <t>Level of certainty*</t>
  </si>
  <si>
    <t>Low</t>
  </si>
  <si>
    <t>Evaluation</t>
  </si>
  <si>
    <t>Evaluation methodology</t>
  </si>
  <si>
    <t>Quasi-experimental study design; difference-in-difference combined with propensity score matching (C22 limitation, as households in intervention areas differ significantly from control households)</t>
  </si>
  <si>
    <t>Primary outcome</t>
  </si>
  <si>
    <t>Adoption status of trained agricultural practices</t>
  </si>
  <si>
    <t>Income measurement</t>
  </si>
  <si>
    <t>Sample size per cohort</t>
  </si>
  <si>
    <t>Study population</t>
  </si>
  <si>
    <t>Coffee-cultivating households that reside in project Kebeles</t>
  </si>
  <si>
    <t>Methodological rigor*</t>
  </si>
  <si>
    <t>Good</t>
  </si>
  <si>
    <t xml:space="preserve">Findings on other outcomes </t>
  </si>
  <si>
    <t>Best practice adoption (coffee)</t>
  </si>
  <si>
    <t>Coffee Washing Stations</t>
  </si>
  <si>
    <t xml:space="preserve">Beekeeping </t>
  </si>
  <si>
    <t>Present Value vs Costs</t>
  </si>
  <si>
    <t>C22</t>
  </si>
  <si>
    <t>C23</t>
  </si>
  <si>
    <t>GAPs besides Stumping</t>
  </si>
  <si>
    <t>PV per HH C22</t>
  </si>
  <si>
    <t>Stumping</t>
  </si>
  <si>
    <t>PV per HH C23 (forecast)</t>
  </si>
  <si>
    <t>Honey</t>
  </si>
  <si>
    <t>PV per HH combined</t>
  </si>
  <si>
    <t>Costs per HH</t>
  </si>
  <si>
    <t>NPV per HH</t>
  </si>
  <si>
    <t>C2022</t>
  </si>
  <si>
    <t>Present Value (in 2021 EUR)</t>
  </si>
  <si>
    <t>C2023</t>
  </si>
  <si>
    <t>Combined</t>
  </si>
  <si>
    <t>Project Costs discounted (in 2021 EUR)</t>
  </si>
  <si>
    <t>Net Present Value (in 2021 EUR)</t>
  </si>
  <si>
    <t>HWG Impact Model: Jimma Coffee Program</t>
  </si>
  <si>
    <t>Modelling exercise based on baseline data C22 and C23 and endline C22</t>
  </si>
  <si>
    <t>C22 Cohort</t>
  </si>
  <si>
    <t>C23 Cohort</t>
  </si>
  <si>
    <t>Incentive Distribution</t>
  </si>
  <si>
    <t>Incentive Costs</t>
  </si>
  <si>
    <t>Source</t>
  </si>
  <si>
    <t>Assumption</t>
  </si>
  <si>
    <t>Value</t>
  </si>
  <si>
    <t>Link</t>
  </si>
  <si>
    <t>Assumptions</t>
  </si>
  <si>
    <t>Value Gomma</t>
  </si>
  <si>
    <t>Value Gera</t>
  </si>
  <si>
    <t>Total</t>
  </si>
  <si>
    <t>Cohort</t>
  </si>
  <si>
    <t>Package</t>
  </si>
  <si>
    <t>2023 Season</t>
  </si>
  <si>
    <t>2024 Season</t>
  </si>
  <si>
    <t>Average costs P1</t>
  </si>
  <si>
    <t>TNS Data from Incentive Distribution (2023)</t>
  </si>
  <si>
    <t>241001 TFS Package estimates.xlsx</t>
  </si>
  <si>
    <t>Coffee Farm Size (ha)</t>
  </si>
  <si>
    <t>Average Baseline C2022, p.38</t>
  </si>
  <si>
    <t xml:space="preserve"> </t>
  </si>
  <si>
    <t>Average Baseline C23, p.21</t>
  </si>
  <si>
    <t>Planned</t>
  </si>
  <si>
    <t>Package 1</t>
  </si>
  <si>
    <t>Average costs P2 WB</t>
  </si>
  <si>
    <t>yield per hectare (kg)</t>
  </si>
  <si>
    <t>Average yield at BL, Endline report, p.44</t>
  </si>
  <si>
    <t>Total harvest of red cherries (kg), Baseline C23, p.37</t>
  </si>
  <si>
    <t>Registered</t>
  </si>
  <si>
    <t>Package 2 WB</t>
  </si>
  <si>
    <t>Average costs P3 BH</t>
  </si>
  <si>
    <t>Share HH adoption additional 2 BP</t>
  </si>
  <si>
    <t>Changes in the number of best practices adopted by treatment group at endline, Endline C22, p. 38</t>
  </si>
  <si>
    <t>Results from C22</t>
  </si>
  <si>
    <t>Trained (50% + 3 Key Practices)</t>
  </si>
  <si>
    <t>Package 2 BH</t>
  </si>
  <si>
    <t>Share of harvest labor hired</t>
  </si>
  <si>
    <t>Average Baseline C2022, p.44</t>
  </si>
  <si>
    <t>*We use registered households as evaluation results reflect outcome on ITT</t>
  </si>
  <si>
    <t>Rounds of weeding</t>
  </si>
  <si>
    <t>Average Endline C2022, p.22</t>
  </si>
  <si>
    <t>Person Days per round of weeding per ha</t>
  </si>
  <si>
    <t>Expert Model</t>
  </si>
  <si>
    <t>Share of weeding labor hired</t>
  </si>
  <si>
    <t>2) Incremental Cash-flows household level, based on C22 endline and assumptions (C23)</t>
  </si>
  <si>
    <t>C2022 (Endline)</t>
  </si>
  <si>
    <t>Year</t>
  </si>
  <si>
    <t xml:space="preserve">C22 Stumping </t>
  </si>
  <si>
    <t>Share of HH adopting + 2 BP</t>
  </si>
  <si>
    <t>-</t>
  </si>
  <si>
    <t>Yield benefit (kg cherry)</t>
  </si>
  <si>
    <t>Year 1</t>
  </si>
  <si>
    <t xml:space="preserve">Harvest Labor additional </t>
  </si>
  <si>
    <t>Year 2</t>
  </si>
  <si>
    <t>Harvest Cost additional  (in real 2021 ETB)</t>
  </si>
  <si>
    <t>Year 3</t>
  </si>
  <si>
    <t>Additional revenue per household  (in real 2021 ETB)</t>
  </si>
  <si>
    <t>Year 4</t>
  </si>
  <si>
    <t>Additional profit per household (in real 2021 ETB)</t>
  </si>
  <si>
    <t>Year 5</t>
  </si>
  <si>
    <t>Additional profit per household, discounted (in real 2021 ETB)</t>
  </si>
  <si>
    <t>Year 6</t>
  </si>
  <si>
    <t>Additional profit per household, discounted (in real 2021 EUR)</t>
  </si>
  <si>
    <t>Year 7</t>
  </si>
  <si>
    <t>Share of HH that stumped</t>
  </si>
  <si>
    <t>Year 8</t>
  </si>
  <si>
    <t>Number of Trees stumped (if stumped)</t>
  </si>
  <si>
    <t>Year 9</t>
  </si>
  <si>
    <t>Number of trees stumped per household</t>
  </si>
  <si>
    <t>Yield difference</t>
  </si>
  <si>
    <t xml:space="preserve">Labor additional </t>
  </si>
  <si>
    <t>Additional profit per household, dicounted (in real 2021 ETB)</t>
  </si>
  <si>
    <t>Additional honey income in nominal ETB</t>
  </si>
  <si>
    <t>Additional income per household (in real 2021 ETB)</t>
  </si>
  <si>
    <t>Additional income per household, discounted (in real 2021 ETB)</t>
  </si>
  <si>
    <t>Additional income per household, discounted (in real 2021 EUR)</t>
  </si>
  <si>
    <t>CWS</t>
  </si>
  <si>
    <t>Share of HH selling to cooperative</t>
  </si>
  <si>
    <t>Average price increase through CWS work</t>
  </si>
  <si>
    <t>Additional income per household (in real 2021 EUR)</t>
  </si>
  <si>
    <t>C22 Present Value per household discounted (in real 2021 EUR)</t>
  </si>
  <si>
    <t>C2023 (Assumptions)</t>
  </si>
  <si>
    <t>CURRENTLY CONSIDERING SAME IMPACT AS C22 for GAP adoption, honey income and CWS impact</t>
  </si>
  <si>
    <t xml:space="preserve">C23 Stumping </t>
  </si>
  <si>
    <t>Harvest Cost additional  (in real 2022 ETB)</t>
  </si>
  <si>
    <t>Additional revenue per household  (in real 2022 ETB)</t>
  </si>
  <si>
    <t>Additional profit per household (in real 2022 ETB)</t>
  </si>
  <si>
    <t>Additional profit per household, discounted (in real 2022 ETB)</t>
  </si>
  <si>
    <t>Share of HH that stumped (C22 RESULTS)</t>
  </si>
  <si>
    <t>Number of Trees stumped (if stumped) (C22 RESULTS)</t>
  </si>
  <si>
    <t>Additional honey income in ETB</t>
  </si>
  <si>
    <t>Additional income per household (in real 2022 ETB)</t>
  </si>
  <si>
    <t>Additional income per household, discounted (in real 2022 ETB)</t>
  </si>
  <si>
    <t>Additional Income per household (in real 2021 ETB)</t>
  </si>
  <si>
    <t>C23 Present Value per household (EUR)</t>
  </si>
  <si>
    <t>3) Incremental cash-flow total project undiscounted and discounted</t>
  </si>
  <si>
    <t>Incremental Cash-flow EUR, discounted (in real 2021 EUR)</t>
  </si>
  <si>
    <t xml:space="preserve">4) Project Costs </t>
  </si>
  <si>
    <t>Project Costs (in nominal EUR)</t>
  </si>
  <si>
    <t>Project Costs (in real 2021 EUR)</t>
  </si>
  <si>
    <t>Project Cost discounted (in 2021 EUR)</t>
  </si>
  <si>
    <t>Project costs discounted (in 2021 EUR)</t>
  </si>
  <si>
    <t xml:space="preserve">Costs per Household discounted (in 2021 EUR) </t>
  </si>
  <si>
    <t>6) Project SROI</t>
  </si>
  <si>
    <t>Social Return on Investment (SROI)</t>
  </si>
  <si>
    <t>SROI = Total Benefits/ Project Costs</t>
  </si>
  <si>
    <t>I. Details of the Analysis</t>
  </si>
  <si>
    <t>Impact Measure</t>
  </si>
  <si>
    <t>Additional net income (profit) generated</t>
  </si>
  <si>
    <t>Base year C2022</t>
  </si>
  <si>
    <t>Base year C2023</t>
  </si>
  <si>
    <t>Year of Analysis</t>
  </si>
  <si>
    <t>Year of Analysis Currency</t>
  </si>
  <si>
    <t>2021 EUR</t>
  </si>
  <si>
    <t>Discount rate*</t>
  </si>
  <si>
    <t>Production costs</t>
  </si>
  <si>
    <t>kg coffee cherries harvested per day</t>
  </si>
  <si>
    <t>Expert model</t>
  </si>
  <si>
    <t>Compost kg/tree</t>
  </si>
  <si>
    <t xml:space="preserve">Person Days for making compost  for 1 Kg per tree </t>
  </si>
  <si>
    <t xml:space="preserve">Person Days for applying compost  for 1 Kg per tree </t>
  </si>
  <si>
    <t>Person Days for stumping 1 tree</t>
  </si>
  <si>
    <t>TNS and interviews during field visits</t>
  </si>
  <si>
    <t>Weeks/Year</t>
  </si>
  <si>
    <t>Sources</t>
  </si>
  <si>
    <t>Daily rate per laborer (in nominal ETB)</t>
  </si>
  <si>
    <t>2018: C2019 BL (p.25), 2019: C2020 BL (p.32), 2020: C2019 Endline (p. 51),  2021: average 2020-2022, 2022: C2020 Endline (p.34). For rates after 2022, we take the 5-year average daily labor rate from 2018-2022.</t>
  </si>
  <si>
    <t>Daily rate per laborer (in real ETB)</t>
  </si>
  <si>
    <t>Yield change*</t>
  </si>
  <si>
    <t>Yield benefit of GAP adoption besides stumping</t>
  </si>
  <si>
    <t>Yield benefit of  stumping*</t>
  </si>
  <si>
    <t>Year 1 (Stumping)</t>
  </si>
  <si>
    <t xml:space="preserve">Year 2 </t>
  </si>
  <si>
    <t>Stumped yield (kg fresh cherry/tree)</t>
  </si>
  <si>
    <t>Unstumped yield (kg fresh cherry/tree)</t>
  </si>
  <si>
    <t>Difference</t>
  </si>
  <si>
    <t>linear decay in farmers' practice* adoption</t>
  </si>
  <si>
    <t>(IPE Triple Line, 2017)</t>
  </si>
  <si>
    <t>Coffee Prices</t>
  </si>
  <si>
    <t>Coffee Price (kg fresh cherry) (in nominal ETB)</t>
  </si>
  <si>
    <t>Coffee Price (kg fresh cherry) (in real 2021 ETB)</t>
  </si>
  <si>
    <t>Coffee Price (kg fresh cherry) (in real 2022 ETB)</t>
  </si>
  <si>
    <t>III. Inflation Rates</t>
  </si>
  <si>
    <t>GDP deflator          
(annual %)
base year=2015/2016</t>
  </si>
  <si>
    <t>IMF GDP deflators</t>
  </si>
  <si>
    <t>Germany</t>
  </si>
  <si>
    <t>IV. Exchange rates</t>
  </si>
  <si>
    <t>Ex ETB_EUR</t>
  </si>
  <si>
    <t>Oanda (March)</t>
  </si>
  <si>
    <t>SROI figures for different discount rates</t>
  </si>
  <si>
    <t>Discount</t>
  </si>
  <si>
    <t>0%</t>
  </si>
  <si>
    <t>2,5%</t>
  </si>
  <si>
    <t>5%</t>
  </si>
  <si>
    <t>7,5%</t>
  </si>
  <si>
    <t>10%</t>
  </si>
  <si>
    <t>12,5%</t>
  </si>
  <si>
    <t>15%</t>
  </si>
  <si>
    <t>15.489 trained (50% of training topics + 3 key topics)</t>
  </si>
  <si>
    <t>Modeled based on adoption data</t>
  </si>
  <si>
    <t>C23: Treatment: 1054; Control: 1106</t>
  </si>
  <si>
    <t>C22: Treatment: 644; Control: 310</t>
  </si>
  <si>
    <t>Coffee Washing Stations (CWS)</t>
  </si>
  <si>
    <t>Endline C22: Average household adopted 2.2 out of 7 best practices by endline (C22) with 34% of interviewed households adopting additional 2 best practices at endline. Only 25% of targeted 50% adopted compost/ manure. The adoption of weedings declined 47% to 37%. The decline in weeding adoption is partly the result of observation of higher weed incidence. One possible explanation for the higher weed incidence, could be the timing of the surveys. The baseline was conducted in January 2022, during the dry season in most parts of Ethiopia, whereas the endline survey took place in the rainy season.  70% of interviewed farmers reported weeding min twice per year up from 56% at baseline.</t>
  </si>
  <si>
    <t xml:space="preserve">C22 &amp; C23 TNS audits: 2024 audits were conducted for all 12 operational CWS (C22 &amp; C23). Four of the 16 CWS did not open during the 2024/25 season due to a shortage of working capital and/or equipment failure (e.g., damaged pulping machines). All audited CWS passed a mimimum of 80% of sustainability standards. All 12 CWS met the requirement of scoring at least 86% on CPQI. The average score for both cohorts was 91%.. The proportion of Q1/Q2 grade coffee was at 97%. </t>
  </si>
  <si>
    <t>Endline C22: The number of households with occupied, active hives increase from 21% to 29% in past 12 months. The income increase in honey is mainly driven by increasing prices which changed from avrg 136 ETB to 286 ETB for crude honey. Average production decreased from 16,9 kg to 13 kg (as additional 700 farmer likely poroduce less than more experienced farmers); Although more farmers produced honey, the share of farmers reporting income through sales declined by 2% (from 9% to 7%) while the average income doubled from 3068 ETB  to 6024 ETB. During the year beekeeping farmers phased issues with unfavoring climatic conditions highly influencing productivity.</t>
  </si>
  <si>
    <t>To improve coffee productivity and resilience by promoting regenerative agricultural practices and quality improvements for coffee plus honey as alternative income-generating activity</t>
  </si>
  <si>
    <t>*Background information is given under the tab "Explanations"</t>
  </si>
  <si>
    <t>*Detailed definitions are given under the tab "Explanations"</t>
  </si>
  <si>
    <t>v1</t>
  </si>
  <si>
    <t>SROI figures for different share of household adopting + 2 BP and yield impacs</t>
  </si>
  <si>
    <t>Share of HH Adtoping + 2 practices</t>
  </si>
  <si>
    <t>Yield impact</t>
  </si>
  <si>
    <t>2020: C2019 Endline (p.45); 2021: C022 Baseline (p.47) ;2022: C2023 Baseline (p. ii); 2023 and 2024: EL C2022. For prices after 2024, we take the 5-year average coffee price from 2020-2024.</t>
  </si>
  <si>
    <t>1) Critical Project Specific Assumptions</t>
  </si>
  <si>
    <t>II.General Assumptions Used in the Analysis</t>
  </si>
  <si>
    <t>5) Present Value (in 2021 EUR)</t>
  </si>
  <si>
    <t>C22 Present Value</t>
  </si>
  <si>
    <t>C23 Present Value</t>
  </si>
  <si>
    <t>Total Project Present Value</t>
  </si>
  <si>
    <t xml:space="preserve">Present Value per household </t>
  </si>
  <si>
    <t xml:space="preserve">Total Project Net Present Value </t>
  </si>
  <si>
    <t xml:space="preserve">Net Present Value per household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</si>
</sst>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0.00\ &quot;€&quot;;[Red]\-#,##0.00\ &quot;€&quot;"/>
    <numFmt numFmtId="43" formatCode="_-* #,##0.00_-;\-* #,##0.00_-;_-* &quot;-&quot;??_-;_-@_-"/>
    <numFmt numFmtId="164" formatCode="_-* #,##0_-;\-* #,##0_-;_-* &quot;-&quot;??_-;_-@_-"/>
    <numFmt numFmtId="165" formatCode="_-* #,##0.00\ [$€-407]_-;\-* #,##0.00\ [$€-407]_-;_-* &quot;-&quot;??\ [$€-407]_-;_-@_-"/>
    <numFmt numFmtId="166" formatCode="#,##0\ &quot;€&quot;"/>
    <numFmt numFmtId="167" formatCode="0.0"/>
    <numFmt numFmtId="168" formatCode="#,##0.0"/>
    <numFmt numFmtId="169" formatCode="_-* #,##0\ [$ETB]_-;\-* #,##0\ [$ETB]_-;_-* &quot;-&quot;\ [$ETB]_-;_-@_-"/>
    <numFmt numFmtId="170" formatCode="0.0%"/>
    <numFmt numFmtId="171" formatCode="[$€-2]\ #,##0.00;[Red][$€-2]\ #,##0.00"/>
    <numFmt numFmtId="172" formatCode="_-* #,##0\ [$€-407]_-;\-* #,##0\ [$€-407]_-;_-* &quot;-&quot;\ [$€-407]_-;_-@_-"/>
    <numFmt numFmtId="173" formatCode="_-* #,##0.00\ [$ETB]_-;\-* #,##0.00\ [$ETB]_-;_-* &quot;-&quot;??\ [$ETB]_-;_-@_-"/>
    <numFmt numFmtId="174" formatCode="#,##0\ [$€-407];\-#,##0\ [$€-407]"/>
    <numFmt numFmtId="175" formatCode="_-* #,##0.0\ [$€-407]_-;\-* #,##0.0\ [$€-407]_-;_-* &quot;-&quot;?\ [$€-407]_-;_-@_-"/>
    <numFmt numFmtId="176" formatCode="0.000"/>
    <numFmt numFmtId="177" formatCode="#,##0.00\ [$ETB];\-#,##0.00\ [$ETB]"/>
    <numFmt numFmtId="178" formatCode="#,##0.00\ &quot;€&quot;"/>
    <numFmt numFmtId="179" formatCode="#,##0_ ;\-#,##0\ "/>
  </numFmts>
  <fonts count="41" x14ac:knownFonts="1">
    <font>
      <sz val="11"/>
      <color theme="1"/>
      <name val="Calibri"/>
      <family val="2"/>
      <scheme val="minor"/>
    </font>
    <font>
      <sz val="11"/>
      <color theme="1"/>
      <name val="Calibri"/>
      <family val="2"/>
      <scheme val="minor"/>
    </font>
    <font>
      <sz val="11"/>
      <color theme="1"/>
      <name val="Pero"/>
      <family val="2"/>
    </font>
    <font>
      <sz val="11"/>
      <color rgb="FFFF0000"/>
      <name val="Pero"/>
      <family val="2"/>
    </font>
    <font>
      <u/>
      <sz val="11"/>
      <color theme="10"/>
      <name val="Calibri"/>
      <family val="2"/>
      <scheme val="minor"/>
    </font>
    <font>
      <i/>
      <sz val="11"/>
      <color theme="1"/>
      <name val="Pero"/>
      <family val="2"/>
    </font>
    <font>
      <b/>
      <i/>
      <sz val="14"/>
      <color theme="1"/>
      <name val="Calibri"/>
      <family val="2"/>
      <scheme val="minor"/>
    </font>
    <font>
      <sz val="16"/>
      <color theme="1"/>
      <name val="Pero ExtraBold"/>
      <family val="2"/>
    </font>
    <font>
      <sz val="11"/>
      <name val="Pero"/>
      <family val="2"/>
    </font>
    <font>
      <b/>
      <sz val="11"/>
      <color theme="1"/>
      <name val="Pero"/>
      <family val="2"/>
    </font>
    <font>
      <b/>
      <sz val="14"/>
      <color theme="1"/>
      <name val="Calibri"/>
      <family val="2"/>
      <scheme val="minor"/>
    </font>
    <font>
      <sz val="11"/>
      <color theme="1"/>
      <name val="Pero ExtraBold"/>
      <family val="2"/>
    </font>
    <font>
      <b/>
      <sz val="12"/>
      <color theme="1"/>
      <name val="Pero ExtraBold"/>
      <family val="2"/>
    </font>
    <font>
      <b/>
      <sz val="16"/>
      <color theme="1"/>
      <name val="Pero ExtraBold"/>
      <family val="2"/>
    </font>
    <font>
      <b/>
      <sz val="14"/>
      <color theme="1"/>
      <name val="Pero ExtraBold"/>
      <family val="2"/>
    </font>
    <font>
      <sz val="14"/>
      <color theme="1"/>
      <name val="Pero ExtraBold"/>
      <family val="2"/>
    </font>
    <font>
      <sz val="20"/>
      <color theme="1"/>
      <name val="Pero ExtraBold"/>
      <family val="2"/>
    </font>
    <font>
      <u/>
      <sz val="11"/>
      <color theme="10"/>
      <name val="Pero"/>
      <family val="2"/>
    </font>
    <font>
      <i/>
      <sz val="11"/>
      <color theme="1"/>
      <name val="Calibri"/>
      <family val="2"/>
      <scheme val="minor"/>
    </font>
    <font>
      <sz val="11"/>
      <color rgb="FF3F3F76"/>
      <name val="Calibri"/>
      <family val="2"/>
      <scheme val="minor"/>
    </font>
    <font>
      <sz val="11"/>
      <color indexed="8"/>
      <name val="Calibri"/>
      <family val="2"/>
    </font>
    <font>
      <b/>
      <sz val="14"/>
      <color indexed="8"/>
      <name val="Pero"/>
      <family val="2"/>
    </font>
    <font>
      <sz val="10"/>
      <color indexed="8"/>
      <name val="Pero"/>
      <family val="2"/>
    </font>
    <font>
      <sz val="11"/>
      <color indexed="8"/>
      <name val="Pero"/>
      <family val="2"/>
    </font>
    <font>
      <sz val="11"/>
      <color rgb="FF3F3F76"/>
      <name val="Pero"/>
      <family val="2"/>
    </font>
    <font>
      <b/>
      <sz val="14"/>
      <color indexed="8"/>
      <name val="Calibri"/>
      <family val="2"/>
      <scheme val="minor"/>
    </font>
    <font>
      <i/>
      <sz val="10"/>
      <color theme="1"/>
      <name val="Pero"/>
      <family val="2"/>
    </font>
    <font>
      <b/>
      <sz val="11"/>
      <color theme="1"/>
      <name val="Pero ExtraBold"/>
      <family val="2"/>
    </font>
    <font>
      <b/>
      <sz val="11"/>
      <color theme="1"/>
      <name val="Calibri"/>
      <family val="2"/>
      <scheme val="minor"/>
    </font>
    <font>
      <b/>
      <sz val="16"/>
      <color indexed="8"/>
      <name val="Pero"/>
      <family val="2"/>
    </font>
    <font>
      <b/>
      <sz val="11"/>
      <color indexed="8"/>
      <name val="Pero"/>
      <family val="2"/>
    </font>
    <font>
      <b/>
      <sz val="14"/>
      <color theme="1"/>
      <name val="Pero"/>
      <family val="2"/>
    </font>
    <font>
      <b/>
      <sz val="14"/>
      <color theme="0"/>
      <name val="Pero"/>
      <family val="2"/>
    </font>
    <font>
      <sz val="8"/>
      <color theme="1"/>
      <name val="Pero"/>
      <family val="2"/>
    </font>
    <font>
      <sz val="11"/>
      <color rgb="FF000000"/>
      <name val="Pero"/>
      <family val="2"/>
    </font>
    <font>
      <b/>
      <sz val="11"/>
      <color theme="1"/>
      <name val="Pero+"/>
    </font>
    <font>
      <sz val="11"/>
      <color theme="1"/>
      <name val="Pero+"/>
    </font>
    <font>
      <u/>
      <sz val="11"/>
      <color theme="10"/>
      <name val="Pero+"/>
    </font>
    <font>
      <sz val="12"/>
      <color theme="1"/>
      <name val="Pero ExtraBold"/>
      <family val="2"/>
    </font>
    <font>
      <sz val="12"/>
      <color theme="1"/>
      <name val="Pero"/>
      <family val="2"/>
    </font>
    <font>
      <sz val="14"/>
      <color theme="1"/>
      <name val="Pero"/>
      <family val="2"/>
    </font>
  </fonts>
  <fills count="13">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C8AFBE"/>
        <bgColor indexed="64"/>
      </patternFill>
    </fill>
    <fill>
      <patternFill patternType="solid">
        <fgColor theme="0"/>
        <bgColor indexed="64"/>
      </patternFill>
    </fill>
    <fill>
      <patternFill patternType="solid">
        <fgColor rgb="FFFFCC99"/>
      </patternFill>
    </fill>
    <fill>
      <patternFill patternType="solid">
        <fgColor theme="0" tint="-4.9989318521683403E-2"/>
        <bgColor indexed="64"/>
      </patternFill>
    </fill>
    <fill>
      <patternFill patternType="solid">
        <fgColor rgb="FFF0D7AA"/>
        <bgColor indexed="64"/>
      </patternFill>
    </fill>
    <fill>
      <patternFill patternType="solid">
        <fgColor rgb="FFDCA591"/>
        <bgColor indexed="64"/>
      </patternFill>
    </fill>
    <fill>
      <patternFill patternType="solid">
        <fgColor rgb="FFCDD2B4"/>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thin">
        <color indexed="64"/>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theme="0" tint="-0.499984740745262"/>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9" fillId="8" borderId="20" applyNumberFormat="0" applyAlignment="0" applyProtection="0"/>
    <xf numFmtId="0" fontId="20" fillId="0" borderId="0"/>
  </cellStyleXfs>
  <cellXfs count="418">
    <xf numFmtId="0" fontId="0" fillId="0" borderId="0" xfId="0"/>
    <xf numFmtId="164" fontId="0" fillId="0" borderId="0" xfId="0" applyNumberFormat="1"/>
    <xf numFmtId="164" fontId="0" fillId="0" borderId="0" xfId="1" applyNumberFormat="1" applyFont="1"/>
    <xf numFmtId="0" fontId="2" fillId="0" borderId="0" xfId="0" applyFont="1"/>
    <xf numFmtId="0" fontId="2" fillId="0" borderId="0" xfId="0" applyFont="1" applyAlignment="1">
      <alignment horizontal="left"/>
    </xf>
    <xf numFmtId="0" fontId="2" fillId="0" borderId="1" xfId="0" applyFont="1" applyBorder="1" applyAlignment="1">
      <alignment vertical="center"/>
    </xf>
    <xf numFmtId="0" fontId="2" fillId="0" borderId="1" xfId="0" applyFont="1" applyBorder="1"/>
    <xf numFmtId="0" fontId="9" fillId="0" borderId="0" xfId="0" applyFont="1"/>
    <xf numFmtId="165" fontId="2" fillId="0" borderId="0" xfId="0" applyNumberFormat="1" applyFont="1"/>
    <xf numFmtId="0" fontId="2" fillId="0" borderId="1" xfId="0" applyFont="1" applyBorder="1" applyAlignment="1">
      <alignment horizontal="right"/>
    </xf>
    <xf numFmtId="1" fontId="2" fillId="0" borderId="1" xfId="1" applyNumberFormat="1" applyFont="1" applyBorder="1"/>
    <xf numFmtId="43" fontId="2" fillId="0" borderId="1" xfId="1" applyFont="1" applyBorder="1"/>
    <xf numFmtId="0" fontId="11" fillId="0" borderId="1" xfId="0" applyFont="1" applyBorder="1"/>
    <xf numFmtId="3" fontId="2" fillId="0" borderId="5" xfId="0" applyNumberFormat="1" applyFont="1" applyBorder="1" applyAlignment="1">
      <alignment horizontal="right"/>
    </xf>
    <xf numFmtId="0" fontId="2" fillId="0" borderId="5" xfId="0" applyFont="1" applyBorder="1" applyAlignment="1">
      <alignment horizontal="right"/>
    </xf>
    <xf numFmtId="0" fontId="12" fillId="6" borderId="3" xfId="0" applyFont="1" applyFill="1" applyBorder="1"/>
    <xf numFmtId="0" fontId="12" fillId="6" borderId="3" xfId="0" applyFont="1" applyFill="1" applyBorder="1" applyAlignment="1">
      <alignment horizontal="right"/>
    </xf>
    <xf numFmtId="0" fontId="12" fillId="6" borderId="1" xfId="0" applyFont="1" applyFill="1" applyBorder="1" applyAlignment="1">
      <alignment horizontal="right"/>
    </xf>
    <xf numFmtId="3" fontId="11" fillId="0" borderId="1" xfId="0" applyNumberFormat="1" applyFont="1" applyBorder="1"/>
    <xf numFmtId="0" fontId="11" fillId="4" borderId="1" xfId="0" applyFont="1" applyFill="1" applyBorder="1"/>
    <xf numFmtId="164" fontId="11" fillId="4" borderId="1" xfId="0" applyNumberFormat="1" applyFont="1" applyFill="1" applyBorder="1"/>
    <xf numFmtId="0" fontId="12" fillId="6" borderId="3" xfId="0" applyFont="1" applyFill="1" applyBorder="1" applyAlignment="1">
      <alignment horizontal="left"/>
    </xf>
    <xf numFmtId="0" fontId="7" fillId="0" borderId="10" xfId="0" applyFont="1" applyBorder="1"/>
    <xf numFmtId="0" fontId="2" fillId="7" borderId="1" xfId="0" applyFont="1" applyFill="1" applyBorder="1"/>
    <xf numFmtId="0" fontId="0" fillId="0" borderId="1" xfId="0" applyBorder="1"/>
    <xf numFmtId="172" fontId="0" fillId="0" borderId="1" xfId="0" applyNumberFormat="1" applyBorder="1"/>
    <xf numFmtId="172" fontId="0" fillId="0" borderId="0" xfId="0" applyNumberFormat="1"/>
    <xf numFmtId="0" fontId="4" fillId="0" borderId="0" xfId="2" applyBorder="1" applyAlignment="1"/>
    <xf numFmtId="169" fontId="8" fillId="7" borderId="1" xfId="0" applyNumberFormat="1" applyFont="1" applyFill="1" applyBorder="1" applyAlignment="1">
      <alignment horizontal="right"/>
    </xf>
    <xf numFmtId="0" fontId="2" fillId="0" borderId="5" xfId="0" quotePrefix="1" applyFont="1" applyBorder="1" applyAlignment="1">
      <alignment horizontal="right"/>
    </xf>
    <xf numFmtId="0" fontId="2" fillId="7" borderId="5" xfId="0" applyFont="1" applyFill="1" applyBorder="1" applyAlignment="1">
      <alignment horizontal="right"/>
    </xf>
    <xf numFmtId="0" fontId="2" fillId="0" borderId="11" xfId="0" applyFont="1" applyBorder="1"/>
    <xf numFmtId="0" fontId="2" fillId="0" borderId="2" xfId="0" applyFont="1" applyBorder="1"/>
    <xf numFmtId="0" fontId="2" fillId="0" borderId="12" xfId="0" applyFont="1" applyBorder="1"/>
    <xf numFmtId="0" fontId="2" fillId="0" borderId="10" xfId="0" applyFont="1" applyBorder="1"/>
    <xf numFmtId="0" fontId="2" fillId="0" borderId="3" xfId="0" applyFont="1" applyBorder="1"/>
    <xf numFmtId="0" fontId="8" fillId="7" borderId="1" xfId="0" applyFont="1" applyFill="1" applyBorder="1"/>
    <xf numFmtId="9" fontId="2" fillId="7" borderId="11" xfId="0" applyNumberFormat="1" applyFont="1" applyFill="1" applyBorder="1" applyAlignment="1">
      <alignment horizontal="right"/>
    </xf>
    <xf numFmtId="9" fontId="2" fillId="7" borderId="1" xfId="0" applyNumberFormat="1" applyFont="1" applyFill="1" applyBorder="1"/>
    <xf numFmtId="1" fontId="2" fillId="7" borderId="1" xfId="0" applyNumberFormat="1" applyFont="1" applyFill="1" applyBorder="1" applyAlignment="1">
      <alignment vertical="center"/>
    </xf>
    <xf numFmtId="8" fontId="2" fillId="7" borderId="1" xfId="0" applyNumberFormat="1" applyFont="1" applyFill="1" applyBorder="1"/>
    <xf numFmtId="43" fontId="2" fillId="7" borderId="1" xfId="1" applyFont="1" applyFill="1" applyBorder="1"/>
    <xf numFmtId="3" fontId="2" fillId="0" borderId="1" xfId="0" applyNumberFormat="1" applyFont="1" applyBorder="1" applyAlignment="1">
      <alignment horizontal="right"/>
    </xf>
    <xf numFmtId="4" fontId="2" fillId="0" borderId="1" xfId="0" applyNumberFormat="1" applyFont="1" applyBorder="1" applyAlignment="1">
      <alignment horizontal="right"/>
    </xf>
    <xf numFmtId="0" fontId="2" fillId="0" borderId="1" xfId="0" quotePrefix="1" applyFont="1" applyBorder="1" applyAlignment="1">
      <alignment horizontal="right"/>
    </xf>
    <xf numFmtId="3" fontId="2" fillId="2" borderId="17" xfId="0" applyNumberFormat="1" applyFont="1" applyFill="1" applyBorder="1" applyAlignment="1">
      <alignment horizontal="right"/>
    </xf>
    <xf numFmtId="3" fontId="2" fillId="2" borderId="18" xfId="0" applyNumberFormat="1" applyFont="1" applyFill="1" applyBorder="1" applyAlignment="1">
      <alignment horizontal="right"/>
    </xf>
    <xf numFmtId="169" fontId="8" fillId="2" borderId="18" xfId="0" applyNumberFormat="1" applyFont="1" applyFill="1" applyBorder="1"/>
    <xf numFmtId="165" fontId="15" fillId="2" borderId="8" xfId="0" applyNumberFormat="1" applyFont="1" applyFill="1" applyBorder="1"/>
    <xf numFmtId="169" fontId="8" fillId="2" borderId="19" xfId="0" applyNumberFormat="1" applyFont="1" applyFill="1" applyBorder="1"/>
    <xf numFmtId="0" fontId="2" fillId="2" borderId="17" xfId="0" applyFont="1" applyFill="1" applyBorder="1" applyAlignment="1">
      <alignment horizontal="right"/>
    </xf>
    <xf numFmtId="0" fontId="2" fillId="2" borderId="18" xfId="0" applyFont="1" applyFill="1" applyBorder="1" applyAlignment="1">
      <alignment horizontal="right"/>
    </xf>
    <xf numFmtId="1" fontId="2" fillId="2" borderId="18" xfId="1" applyNumberFormat="1" applyFont="1" applyFill="1" applyBorder="1"/>
    <xf numFmtId="43" fontId="2" fillId="2" borderId="18" xfId="1" applyFont="1" applyFill="1" applyBorder="1"/>
    <xf numFmtId="165" fontId="2" fillId="2" borderId="19" xfId="0" applyNumberFormat="1" applyFont="1" applyFill="1" applyBorder="1" applyAlignment="1">
      <alignment horizontal="right"/>
    </xf>
    <xf numFmtId="165" fontId="15" fillId="2" borderId="11" xfId="0" applyNumberFormat="1" applyFont="1" applyFill="1" applyBorder="1"/>
    <xf numFmtId="164" fontId="2" fillId="2" borderId="17" xfId="1" applyNumberFormat="1" applyFont="1" applyFill="1" applyBorder="1" applyAlignment="1">
      <alignment horizontal="right"/>
    </xf>
    <xf numFmtId="164" fontId="2" fillId="2" borderId="18" xfId="1" applyNumberFormat="1" applyFont="1" applyFill="1" applyBorder="1" applyAlignment="1">
      <alignment horizontal="right"/>
    </xf>
    <xf numFmtId="174" fontId="0" fillId="0" borderId="0" xfId="0" applyNumberFormat="1"/>
    <xf numFmtId="165" fontId="2" fillId="7" borderId="5" xfId="0" applyNumberFormat="1" applyFont="1" applyFill="1" applyBorder="1"/>
    <xf numFmtId="1" fontId="2" fillId="0" borderId="18" xfId="1" applyNumberFormat="1" applyFont="1" applyBorder="1"/>
    <xf numFmtId="43" fontId="2" fillId="0" borderId="18" xfId="1" applyFont="1" applyBorder="1"/>
    <xf numFmtId="0" fontId="14" fillId="0" borderId="1" xfId="0" applyFont="1" applyBorder="1" applyAlignment="1">
      <alignment vertical="center"/>
    </xf>
    <xf numFmtId="1" fontId="2" fillId="7" borderId="1" xfId="1" applyNumberFormat="1" applyFont="1" applyFill="1" applyBorder="1"/>
    <xf numFmtId="3" fontId="2" fillId="7" borderId="1" xfId="0" applyNumberFormat="1" applyFont="1" applyFill="1" applyBorder="1"/>
    <xf numFmtId="0" fontId="21" fillId="5" borderId="0" xfId="5" applyFont="1" applyFill="1" applyAlignment="1">
      <alignment horizontal="left"/>
    </xf>
    <xf numFmtId="176" fontId="22" fillId="5" borderId="0" xfId="5" applyNumberFormat="1" applyFont="1" applyFill="1" applyAlignment="1">
      <alignment horizontal="center"/>
    </xf>
    <xf numFmtId="0" fontId="22" fillId="5" borderId="0" xfId="5" applyFont="1" applyFill="1"/>
    <xf numFmtId="169" fontId="8" fillId="2" borderId="21" xfId="0" applyNumberFormat="1" applyFont="1" applyFill="1" applyBorder="1"/>
    <xf numFmtId="177" fontId="9" fillId="2" borderId="1" xfId="0" applyNumberFormat="1" applyFont="1" applyFill="1" applyBorder="1"/>
    <xf numFmtId="165" fontId="2" fillId="2" borderId="21" xfId="0" applyNumberFormat="1" applyFont="1" applyFill="1" applyBorder="1" applyAlignment="1">
      <alignment horizontal="right"/>
    </xf>
    <xf numFmtId="0" fontId="18" fillId="0" borderId="16" xfId="0" applyFont="1" applyBorder="1" applyAlignment="1">
      <alignment vertical="center" wrapText="1"/>
    </xf>
    <xf numFmtId="0" fontId="0" fillId="0" borderId="0" xfId="0" applyAlignment="1">
      <alignment vertical="center"/>
    </xf>
    <xf numFmtId="3" fontId="2" fillId="0" borderId="18" xfId="0" applyNumberFormat="1" applyFont="1" applyBorder="1" applyAlignment="1">
      <alignment horizontal="right"/>
    </xf>
    <xf numFmtId="165" fontId="15" fillId="2" borderId="19" xfId="0" applyNumberFormat="1" applyFont="1" applyFill="1" applyBorder="1"/>
    <xf numFmtId="0" fontId="2" fillId="0" borderId="1" xfId="0" applyFont="1" applyBorder="1" applyAlignment="1">
      <alignment horizontal="left" wrapText="1"/>
    </xf>
    <xf numFmtId="10" fontId="2" fillId="10" borderId="5" xfId="0" applyNumberFormat="1" applyFont="1" applyFill="1" applyBorder="1" applyAlignment="1">
      <alignment horizontal="right"/>
    </xf>
    <xf numFmtId="4" fontId="2" fillId="10" borderId="1" xfId="0" applyNumberFormat="1" applyFont="1" applyFill="1" applyBorder="1" applyAlignment="1">
      <alignment horizontal="right"/>
    </xf>
    <xf numFmtId="10" fontId="2" fillId="11" borderId="5" xfId="0" applyNumberFormat="1" applyFont="1" applyFill="1" applyBorder="1" applyAlignment="1">
      <alignment horizontal="right"/>
    </xf>
    <xf numFmtId="4" fontId="2" fillId="11" borderId="1" xfId="0" applyNumberFormat="1" applyFont="1" applyFill="1" applyBorder="1" applyAlignment="1">
      <alignment horizontal="right"/>
    </xf>
    <xf numFmtId="9" fontId="2" fillId="10" borderId="1" xfId="1" applyNumberFormat="1" applyFont="1" applyFill="1" applyBorder="1" applyAlignment="1">
      <alignment horizontal="right"/>
    </xf>
    <xf numFmtId="9" fontId="2" fillId="11" borderId="5" xfId="1" applyNumberFormat="1" applyFont="1" applyFill="1" applyBorder="1" applyAlignment="1">
      <alignment horizontal="right"/>
    </xf>
    <xf numFmtId="9" fontId="2" fillId="11" borderId="1" xfId="1" applyNumberFormat="1" applyFont="1" applyFill="1" applyBorder="1" applyAlignment="1">
      <alignment horizontal="right"/>
    </xf>
    <xf numFmtId="9" fontId="2" fillId="10" borderId="5" xfId="1" applyNumberFormat="1" applyFont="1" applyFill="1" applyBorder="1" applyAlignment="1">
      <alignment horizontal="right"/>
    </xf>
    <xf numFmtId="10" fontId="2" fillId="11" borderId="17" xfId="0" applyNumberFormat="1" applyFont="1" applyFill="1" applyBorder="1" applyAlignment="1">
      <alignment horizontal="right"/>
    </xf>
    <xf numFmtId="3" fontId="2" fillId="11" borderId="1" xfId="0" applyNumberFormat="1" applyFont="1" applyFill="1" applyBorder="1" applyAlignment="1">
      <alignment horizontal="right"/>
    </xf>
    <xf numFmtId="9" fontId="2" fillId="11" borderId="17" xfId="1" applyNumberFormat="1" applyFont="1" applyFill="1" applyBorder="1" applyAlignment="1">
      <alignment horizontal="right"/>
    </xf>
    <xf numFmtId="1" fontId="2" fillId="11" borderId="1" xfId="0" applyNumberFormat="1" applyFont="1" applyFill="1" applyBorder="1" applyAlignment="1">
      <alignment horizontal="center" vertical="center"/>
    </xf>
    <xf numFmtId="0" fontId="0" fillId="0" borderId="0" xfId="0" applyAlignment="1">
      <alignment wrapText="1"/>
    </xf>
    <xf numFmtId="0" fontId="0" fillId="7" borderId="22" xfId="0" applyFill="1" applyBorder="1" applyAlignment="1">
      <alignment horizontal="left" vertical="center"/>
    </xf>
    <xf numFmtId="0" fontId="0" fillId="7" borderId="23" xfId="0" applyFill="1" applyBorder="1" applyAlignment="1">
      <alignment horizontal="left" vertical="center"/>
    </xf>
    <xf numFmtId="0" fontId="0" fillId="7" borderId="23" xfId="0" applyFill="1" applyBorder="1" applyAlignment="1">
      <alignment wrapText="1"/>
    </xf>
    <xf numFmtId="0" fontId="0" fillId="7" borderId="23" xfId="0" applyFill="1" applyBorder="1"/>
    <xf numFmtId="0" fontId="0" fillId="7" borderId="24" xfId="0" applyFill="1" applyBorder="1"/>
    <xf numFmtId="0" fontId="21" fillId="7" borderId="25" xfId="5" applyFont="1" applyFill="1" applyBorder="1" applyAlignment="1">
      <alignment horizontal="left"/>
    </xf>
    <xf numFmtId="0" fontId="29" fillId="4" borderId="0" xfId="5" applyFont="1" applyFill="1" applyAlignment="1">
      <alignment horizontal="left" vertical="center"/>
    </xf>
    <xf numFmtId="0" fontId="29" fillId="4" borderId="0" xfId="5" applyFont="1" applyFill="1" applyAlignment="1">
      <alignment horizontal="center" vertical="center"/>
    </xf>
    <xf numFmtId="0" fontId="0" fillId="4" borderId="0" xfId="0" applyFill="1"/>
    <xf numFmtId="0" fontId="0" fillId="7" borderId="0" xfId="0" applyFill="1"/>
    <xf numFmtId="0" fontId="0" fillId="7" borderId="26" xfId="0" applyFill="1" applyBorder="1"/>
    <xf numFmtId="0" fontId="0" fillId="7" borderId="25" xfId="0" applyFill="1" applyBorder="1" applyAlignment="1">
      <alignment horizontal="left" vertical="center"/>
    </xf>
    <xf numFmtId="0" fontId="0" fillId="7" borderId="0" xfId="0" applyFill="1" applyAlignment="1">
      <alignment horizontal="left" vertical="center"/>
    </xf>
    <xf numFmtId="0" fontId="0" fillId="7" borderId="0" xfId="0" applyFill="1" applyAlignment="1">
      <alignment wrapText="1"/>
    </xf>
    <xf numFmtId="0" fontId="21" fillId="5" borderId="25" xfId="5" applyFont="1" applyFill="1" applyBorder="1" applyAlignment="1">
      <alignment horizontal="left" vertical="center"/>
    </xf>
    <xf numFmtId="0" fontId="21" fillId="5" borderId="0" xfId="5" applyFont="1" applyFill="1" applyAlignment="1">
      <alignment horizontal="left" vertical="center"/>
    </xf>
    <xf numFmtId="0" fontId="21" fillId="5" borderId="0" xfId="5" applyFont="1" applyFill="1" applyAlignment="1">
      <alignment horizontal="left" wrapText="1"/>
    </xf>
    <xf numFmtId="0" fontId="2" fillId="5" borderId="0" xfId="0" applyFont="1" applyFill="1"/>
    <xf numFmtId="0" fontId="0" fillId="5" borderId="0" xfId="0" applyFill="1"/>
    <xf numFmtId="0" fontId="0" fillId="5" borderId="26" xfId="0" applyFill="1" applyBorder="1"/>
    <xf numFmtId="0" fontId="2" fillId="7" borderId="25" xfId="0" applyFont="1" applyFill="1" applyBorder="1"/>
    <xf numFmtId="0" fontId="21" fillId="7" borderId="0" xfId="5" applyFont="1" applyFill="1" applyAlignment="1">
      <alignment horizontal="left" vertical="center"/>
    </xf>
    <xf numFmtId="0" fontId="21" fillId="7" borderId="0" xfId="5" applyFont="1" applyFill="1" applyAlignment="1">
      <alignment horizontal="left" wrapText="1"/>
    </xf>
    <xf numFmtId="0" fontId="21" fillId="7" borderId="0" xfId="5" applyFont="1" applyFill="1" applyAlignment="1">
      <alignment horizontal="left"/>
    </xf>
    <xf numFmtId="0" fontId="2" fillId="7" borderId="0" xfId="0" applyFont="1" applyFill="1"/>
    <xf numFmtId="0" fontId="30" fillId="7" borderId="27" xfId="5" applyFont="1" applyFill="1" applyBorder="1" applyAlignment="1">
      <alignment horizontal="left" vertical="center"/>
    </xf>
    <xf numFmtId="0" fontId="2" fillId="7" borderId="27" xfId="0" applyFont="1" applyFill="1" applyBorder="1" applyAlignment="1">
      <alignment wrapText="1"/>
    </xf>
    <xf numFmtId="0" fontId="21" fillId="7" borderId="27" xfId="5" applyFont="1" applyFill="1" applyBorder="1" applyAlignment="1">
      <alignment horizontal="left"/>
    </xf>
    <xf numFmtId="0" fontId="9" fillId="7" borderId="27" xfId="0" applyFont="1" applyFill="1" applyBorder="1" applyAlignment="1">
      <alignment horizontal="left" vertical="center"/>
    </xf>
    <xf numFmtId="0" fontId="17" fillId="7" borderId="27" xfId="2" applyFont="1" applyFill="1" applyBorder="1" applyAlignment="1">
      <alignment wrapText="1"/>
    </xf>
    <xf numFmtId="0" fontId="2" fillId="7" borderId="27" xfId="0" applyFont="1" applyFill="1" applyBorder="1"/>
    <xf numFmtId="0" fontId="17" fillId="7" borderId="27" xfId="2" applyFont="1" applyFill="1" applyBorder="1"/>
    <xf numFmtId="0" fontId="2" fillId="7" borderId="27" xfId="0" quotePrefix="1" applyFont="1" applyFill="1" applyBorder="1" applyAlignment="1">
      <alignment wrapText="1"/>
    </xf>
    <xf numFmtId="17" fontId="2" fillId="7" borderId="27" xfId="0" applyNumberFormat="1" applyFont="1" applyFill="1" applyBorder="1" applyAlignment="1">
      <alignment horizontal="left" wrapText="1"/>
    </xf>
    <xf numFmtId="0" fontId="9" fillId="7" borderId="0" xfId="0" applyFont="1" applyFill="1" applyAlignment="1">
      <alignment horizontal="left" vertical="center"/>
    </xf>
    <xf numFmtId="0" fontId="2" fillId="7" borderId="0" xfId="0" applyFont="1" applyFill="1" applyAlignment="1">
      <alignment wrapText="1"/>
    </xf>
    <xf numFmtId="0" fontId="21" fillId="5" borderId="26" xfId="5" applyFont="1" applyFill="1" applyBorder="1" applyAlignment="1">
      <alignment horizontal="left"/>
    </xf>
    <xf numFmtId="0" fontId="21" fillId="7" borderId="25" xfId="5" applyFont="1" applyFill="1" applyBorder="1" applyAlignment="1">
      <alignment horizontal="left" vertical="center"/>
    </xf>
    <xf numFmtId="0" fontId="31" fillId="7" borderId="25" xfId="0" applyFont="1" applyFill="1" applyBorder="1" applyAlignment="1">
      <alignment horizontal="left" vertical="center"/>
    </xf>
    <xf numFmtId="0" fontId="31" fillId="4" borderId="27" xfId="0" applyFont="1" applyFill="1" applyBorder="1" applyAlignment="1">
      <alignment horizontal="left" vertical="center"/>
    </xf>
    <xf numFmtId="0" fontId="9" fillId="7" borderId="25" xfId="0" applyFont="1" applyFill="1" applyBorder="1" applyAlignment="1">
      <alignment horizontal="left" vertical="center"/>
    </xf>
    <xf numFmtId="0" fontId="2" fillId="7" borderId="25" xfId="0" applyFont="1" applyFill="1" applyBorder="1" applyAlignment="1">
      <alignment horizontal="left" vertical="center"/>
    </xf>
    <xf numFmtId="0" fontId="2" fillId="7" borderId="0" xfId="0" applyFont="1" applyFill="1" applyAlignment="1">
      <alignment horizontal="left" vertical="center"/>
    </xf>
    <xf numFmtId="0" fontId="28" fillId="7" borderId="25" xfId="0" applyFont="1" applyFill="1" applyBorder="1" applyAlignment="1">
      <alignment horizontal="left" vertical="center"/>
    </xf>
    <xf numFmtId="0" fontId="28" fillId="7" borderId="0" xfId="0" applyFont="1" applyFill="1" applyAlignment="1">
      <alignment horizontal="left" vertical="center"/>
    </xf>
    <xf numFmtId="0" fontId="0" fillId="7" borderId="0" xfId="0" applyFill="1" applyAlignment="1">
      <alignment horizontal="left"/>
    </xf>
    <xf numFmtId="0" fontId="0" fillId="7" borderId="25" xfId="0" applyFill="1" applyBorder="1" applyAlignment="1">
      <alignment horizontal="left"/>
    </xf>
    <xf numFmtId="0" fontId="31" fillId="7" borderId="1" xfId="0" applyFont="1" applyFill="1" applyBorder="1" applyAlignment="1">
      <alignment horizontal="left"/>
    </xf>
    <xf numFmtId="166" fontId="0" fillId="7" borderId="0" xfId="0" applyNumberFormat="1" applyFill="1" applyAlignment="1">
      <alignment horizontal="left"/>
    </xf>
    <xf numFmtId="0" fontId="0" fillId="7" borderId="29" xfId="0" applyFill="1" applyBorder="1" applyAlignment="1">
      <alignment horizontal="left" vertical="center"/>
    </xf>
    <xf numFmtId="0" fontId="0" fillId="7" borderId="30" xfId="0" applyFill="1" applyBorder="1" applyAlignment="1">
      <alignment wrapText="1"/>
    </xf>
    <xf numFmtId="0" fontId="0" fillId="7" borderId="30" xfId="0" applyFill="1" applyBorder="1"/>
    <xf numFmtId="0" fontId="0" fillId="7" borderId="31" xfId="0" applyFill="1" applyBorder="1"/>
    <xf numFmtId="0" fontId="0" fillId="0" borderId="0" xfId="0"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9" fontId="2" fillId="11" borderId="18" xfId="1" applyNumberFormat="1" applyFont="1" applyFill="1" applyBorder="1" applyAlignment="1">
      <alignment horizontal="right"/>
    </xf>
    <xf numFmtId="177" fontId="9" fillId="2" borderId="18" xfId="0" applyNumberFormat="1" applyFont="1" applyFill="1" applyBorder="1"/>
    <xf numFmtId="172" fontId="0" fillId="0" borderId="0" xfId="0" applyNumberFormat="1" applyAlignment="1">
      <alignment horizontal="left"/>
    </xf>
    <xf numFmtId="0" fontId="0" fillId="7" borderId="12" xfId="0" applyFill="1" applyBorder="1" applyAlignment="1">
      <alignment vertical="center"/>
    </xf>
    <xf numFmtId="0" fontId="27" fillId="0" borderId="3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0" fillId="6" borderId="4" xfId="5" applyFont="1" applyFill="1" applyBorder="1" applyAlignment="1">
      <alignment horizontal="center" vertical="center"/>
    </xf>
    <xf numFmtId="1" fontId="24" fillId="7" borderId="17" xfId="3" applyNumberFormat="1" applyFont="1" applyFill="1" applyBorder="1" applyAlignment="1">
      <alignment horizontal="center"/>
    </xf>
    <xf numFmtId="1" fontId="24" fillId="7" borderId="18" xfId="3" applyNumberFormat="1" applyFont="1" applyFill="1" applyBorder="1" applyAlignment="1">
      <alignment horizontal="center"/>
    </xf>
    <xf numFmtId="2" fontId="24" fillId="7" borderId="18" xfId="3" applyNumberFormat="1" applyFont="1" applyFill="1" applyBorder="1" applyAlignment="1">
      <alignment horizontal="center"/>
    </xf>
    <xf numFmtId="9" fontId="24" fillId="7" borderId="34" xfId="3" applyFont="1" applyFill="1" applyBorder="1" applyAlignment="1">
      <alignment horizontal="center"/>
    </xf>
    <xf numFmtId="0" fontId="2" fillId="0" borderId="35" xfId="0" applyFont="1" applyBorder="1" applyAlignment="1">
      <alignment horizontal="left" vertical="center" wrapText="1"/>
    </xf>
    <xf numFmtId="9" fontId="24" fillId="7" borderId="36" xfId="3" applyFont="1" applyFill="1" applyBorder="1" applyAlignment="1">
      <alignment horizontal="center" vertical="center"/>
    </xf>
    <xf numFmtId="1" fontId="2" fillId="11" borderId="18" xfId="0" applyNumberFormat="1" applyFont="1" applyFill="1" applyBorder="1" applyAlignment="1">
      <alignment horizontal="center" vertical="center"/>
    </xf>
    <xf numFmtId="1" fontId="2" fillId="11" borderId="8" xfId="0" applyNumberFormat="1" applyFont="1" applyFill="1" applyBorder="1" applyAlignment="1">
      <alignment horizontal="center" vertical="center"/>
    </xf>
    <xf numFmtId="1" fontId="2" fillId="11" borderId="19" xfId="0" applyNumberFormat="1" applyFont="1" applyFill="1" applyBorder="1" applyAlignment="1">
      <alignment horizontal="center" vertical="center"/>
    </xf>
    <xf numFmtId="9" fontId="24" fillId="7" borderId="0" xfId="3" applyFont="1" applyFill="1" applyBorder="1" applyAlignment="1">
      <alignment horizontal="center" vertical="center"/>
    </xf>
    <xf numFmtId="1" fontId="24" fillId="5" borderId="1" xfId="3" applyNumberFormat="1" applyFont="1" applyFill="1" applyBorder="1" applyAlignment="1">
      <alignment horizontal="center" vertical="center"/>
    </xf>
    <xf numFmtId="0" fontId="2" fillId="0" borderId="1" xfId="0" applyFont="1" applyBorder="1" applyAlignment="1">
      <alignment wrapText="1"/>
    </xf>
    <xf numFmtId="0" fontId="30" fillId="6" borderId="4" xfId="5" applyFont="1" applyFill="1" applyBorder="1" applyAlignment="1">
      <alignment horizontal="left" vertical="center" wrapText="1"/>
    </xf>
    <xf numFmtId="0" fontId="30" fillId="6" borderId="5" xfId="5" applyFont="1" applyFill="1" applyBorder="1" applyAlignment="1">
      <alignment horizontal="left" vertical="center" wrapText="1"/>
    </xf>
    <xf numFmtId="0" fontId="30" fillId="6" borderId="17" xfId="5" applyFont="1" applyFill="1" applyBorder="1" applyAlignment="1">
      <alignment horizontal="left" vertical="center" wrapText="1"/>
    </xf>
    <xf numFmtId="0" fontId="2" fillId="0" borderId="6" xfId="0" applyFont="1" applyBorder="1" applyAlignment="1">
      <alignment wrapText="1"/>
    </xf>
    <xf numFmtId="0" fontId="2" fillId="0" borderId="7" xfId="0" applyFont="1" applyBorder="1" applyAlignment="1">
      <alignment wrapText="1"/>
    </xf>
    <xf numFmtId="167" fontId="2" fillId="7" borderId="8" xfId="0" quotePrefix="1" applyNumberFormat="1" applyFont="1" applyFill="1" applyBorder="1" applyAlignment="1">
      <alignment horizontal="center" vertical="center"/>
    </xf>
    <xf numFmtId="167" fontId="2" fillId="7" borderId="19" xfId="0" quotePrefix="1" applyNumberFormat="1" applyFont="1" applyFill="1" applyBorder="1" applyAlignment="1">
      <alignment horizontal="center" vertical="center"/>
    </xf>
    <xf numFmtId="170" fontId="24" fillId="5" borderId="36" xfId="3" applyNumberFormat="1" applyFont="1" applyFill="1" applyBorder="1" applyAlignment="1">
      <alignment horizontal="center" vertical="center"/>
    </xf>
    <xf numFmtId="1" fontId="24" fillId="5" borderId="8" xfId="3" applyNumberFormat="1" applyFont="1" applyFill="1" applyBorder="1" applyAlignment="1">
      <alignment horizontal="center" vertical="center"/>
    </xf>
    <xf numFmtId="0" fontId="4" fillId="0" borderId="0" xfId="2" applyBorder="1" applyAlignment="1">
      <alignment horizontal="left"/>
    </xf>
    <xf numFmtId="0" fontId="2" fillId="6" borderId="5" xfId="0" applyFont="1" applyFill="1" applyBorder="1" applyAlignment="1">
      <alignment horizontal="center"/>
    </xf>
    <xf numFmtId="0" fontId="34" fillId="0" borderId="1" xfId="5" applyFont="1" applyBorder="1" applyAlignment="1">
      <alignment horizontal="center" vertical="center" wrapText="1"/>
    </xf>
    <xf numFmtId="167" fontId="23" fillId="0" borderId="1" xfId="0" applyNumberFormat="1" applyFont="1" applyBorder="1" applyAlignment="1">
      <alignment horizontal="center" vertical="center" wrapText="1"/>
    </xf>
    <xf numFmtId="0" fontId="34" fillId="0" borderId="8" xfId="5" applyFont="1" applyBorder="1" applyAlignment="1">
      <alignment horizontal="center" vertical="center" wrapText="1"/>
    </xf>
    <xf numFmtId="167" fontId="23" fillId="0" borderId="8" xfId="0" applyNumberFormat="1" applyFont="1" applyBorder="1" applyAlignment="1">
      <alignment horizontal="center" vertical="center" wrapText="1"/>
    </xf>
    <xf numFmtId="0" fontId="23" fillId="0" borderId="6" xfId="5" applyFont="1" applyBorder="1" applyAlignment="1">
      <alignment horizontal="left" vertical="center"/>
    </xf>
    <xf numFmtId="0" fontId="23" fillId="0" borderId="7" xfId="5" applyFont="1" applyBorder="1" applyAlignment="1">
      <alignment horizontal="left" vertical="center"/>
    </xf>
    <xf numFmtId="0" fontId="30" fillId="6" borderId="4" xfId="5" applyFont="1" applyFill="1" applyBorder="1" applyAlignment="1">
      <alignment horizontal="left" vertical="center"/>
    </xf>
    <xf numFmtId="0" fontId="30" fillId="6" borderId="17" xfId="5" applyFont="1" applyFill="1" applyBorder="1" applyAlignment="1">
      <alignment horizontal="left" vertical="center"/>
    </xf>
    <xf numFmtId="0" fontId="0" fillId="0" borderId="7" xfId="0" applyBorder="1"/>
    <xf numFmtId="0" fontId="2" fillId="0" borderId="19" xfId="0" applyFont="1" applyBorder="1" applyAlignment="1">
      <alignment horizontal="left"/>
    </xf>
    <xf numFmtId="0" fontId="34" fillId="0" borderId="1" xfId="5" applyFont="1" applyBorder="1" applyAlignment="1">
      <alignment horizontal="left" vertical="center" wrapText="1"/>
    </xf>
    <xf numFmtId="0" fontId="12" fillId="6" borderId="3" xfId="0" applyFont="1" applyFill="1" applyBorder="1" applyAlignment="1">
      <alignment horizontal="left" wrapText="1"/>
    </xf>
    <xf numFmtId="168" fontId="2" fillId="7" borderId="1" xfId="0" applyNumberFormat="1" applyFont="1" applyFill="1" applyBorder="1" applyAlignment="1">
      <alignment horizontal="right" wrapText="1"/>
    </xf>
    <xf numFmtId="3" fontId="2" fillId="7" borderId="1" xfId="0" applyNumberFormat="1" applyFont="1" applyFill="1" applyBorder="1" applyAlignment="1">
      <alignment horizontal="right" wrapText="1"/>
    </xf>
    <xf numFmtId="9" fontId="2" fillId="7" borderId="11" xfId="0" applyNumberFormat="1" applyFont="1" applyFill="1" applyBorder="1" applyAlignment="1">
      <alignment horizontal="right" wrapText="1"/>
    </xf>
    <xf numFmtId="9" fontId="2" fillId="7" borderId="1" xfId="0" applyNumberFormat="1" applyFont="1" applyFill="1" applyBorder="1" applyAlignment="1">
      <alignment horizontal="right" wrapText="1"/>
    </xf>
    <xf numFmtId="1" fontId="2" fillId="7" borderId="1" xfId="0" applyNumberFormat="1" applyFont="1" applyFill="1" applyBorder="1" applyAlignment="1">
      <alignment horizontal="right" vertical="center" wrapText="1"/>
    </xf>
    <xf numFmtId="0" fontId="2" fillId="0" borderId="5" xfId="0" applyFont="1" applyBorder="1" applyAlignment="1">
      <alignment wrapText="1"/>
    </xf>
    <xf numFmtId="0" fontId="2" fillId="9" borderId="1" xfId="0" applyFont="1" applyFill="1" applyBorder="1" applyAlignment="1">
      <alignment wrapText="1"/>
    </xf>
    <xf numFmtId="0" fontId="9" fillId="9" borderId="8" xfId="0" applyFont="1" applyFill="1" applyBorder="1" applyAlignment="1">
      <alignment wrapText="1"/>
    </xf>
    <xf numFmtId="0" fontId="2" fillId="7" borderId="5" xfId="0" applyFont="1" applyFill="1" applyBorder="1" applyAlignment="1">
      <alignment wrapText="1"/>
    </xf>
    <xf numFmtId="0" fontId="12" fillId="6" borderId="3" xfId="0" applyFont="1" applyFill="1" applyBorder="1" applyAlignment="1">
      <alignment wrapText="1"/>
    </xf>
    <xf numFmtId="0" fontId="0" fillId="0" borderId="1" xfId="0" applyBorder="1" applyAlignment="1">
      <alignment wrapText="1"/>
    </xf>
    <xf numFmtId="0" fontId="12" fillId="6" borderId="3" xfId="0" applyFont="1" applyFill="1" applyBorder="1" applyAlignment="1">
      <alignment horizontal="right" wrapText="1"/>
    </xf>
    <xf numFmtId="172" fontId="0" fillId="0" borderId="1" xfId="0" applyNumberFormat="1" applyBorder="1" applyAlignment="1">
      <alignment wrapText="1"/>
    </xf>
    <xf numFmtId="167" fontId="16" fillId="7" borderId="1" xfId="0" applyNumberFormat="1" applyFont="1" applyFill="1" applyBorder="1" applyAlignment="1">
      <alignment vertical="center" wrapText="1"/>
    </xf>
    <xf numFmtId="0" fontId="21" fillId="5" borderId="39" xfId="5" applyFont="1" applyFill="1" applyBorder="1" applyAlignment="1">
      <alignment horizontal="left"/>
    </xf>
    <xf numFmtId="176" fontId="22" fillId="5" borderId="14" xfId="5" applyNumberFormat="1" applyFont="1" applyFill="1" applyBorder="1" applyAlignment="1">
      <alignment horizontal="center"/>
    </xf>
    <xf numFmtId="0" fontId="22" fillId="5" borderId="14" xfId="5" applyFont="1" applyFill="1" applyBorder="1"/>
    <xf numFmtId="0" fontId="21" fillId="5" borderId="14" xfId="5" applyFont="1" applyFill="1" applyBorder="1" applyAlignment="1">
      <alignment horizontal="left"/>
    </xf>
    <xf numFmtId="0" fontId="21" fillId="5" borderId="15" xfId="5" applyFont="1" applyFill="1" applyBorder="1" applyAlignment="1">
      <alignment horizontal="left"/>
    </xf>
    <xf numFmtId="0" fontId="23" fillId="0" borderId="16" xfId="5" applyFont="1" applyBorder="1"/>
    <xf numFmtId="0" fontId="0" fillId="0" borderId="12" xfId="0" applyBorder="1"/>
    <xf numFmtId="0" fontId="0" fillId="0" borderId="16" xfId="0" applyBorder="1"/>
    <xf numFmtId="0" fontId="21" fillId="5" borderId="16" xfId="5" applyFont="1" applyFill="1" applyBorder="1" applyAlignment="1">
      <alignment horizontal="left"/>
    </xf>
    <xf numFmtId="0" fontId="25" fillId="5" borderId="12" xfId="5" applyFont="1" applyFill="1" applyBorder="1" applyAlignment="1">
      <alignment horizontal="left"/>
    </xf>
    <xf numFmtId="0" fontId="4" fillId="0" borderId="0" xfId="2" applyBorder="1"/>
    <xf numFmtId="0" fontId="0" fillId="0" borderId="16" xfId="0" applyBorder="1" applyAlignment="1">
      <alignment wrapText="1"/>
    </xf>
    <xf numFmtId="0" fontId="21" fillId="5" borderId="12" xfId="5" applyFont="1" applyFill="1" applyBorder="1" applyAlignment="1">
      <alignment horizontal="left"/>
    </xf>
    <xf numFmtId="0" fontId="0" fillId="0" borderId="16" xfId="0" applyBorder="1" applyAlignment="1">
      <alignment vertical="center"/>
    </xf>
    <xf numFmtId="0" fontId="2" fillId="0" borderId="16" xfId="0" applyFont="1" applyBorder="1" applyAlignment="1">
      <alignment horizontal="left"/>
    </xf>
    <xf numFmtId="0" fontId="0" fillId="0" borderId="32" xfId="0" applyBorder="1"/>
    <xf numFmtId="0" fontId="0" fillId="0" borderId="10" xfId="0" applyBorder="1"/>
    <xf numFmtId="0" fontId="2" fillId="0" borderId="10" xfId="0" applyFont="1" applyBorder="1" applyAlignment="1">
      <alignment horizontal="left"/>
    </xf>
    <xf numFmtId="0" fontId="0" fillId="0" borderId="13" xfId="0" applyBorder="1"/>
    <xf numFmtId="0" fontId="30" fillId="6" borderId="5" xfId="5" applyFont="1" applyFill="1" applyBorder="1" applyAlignment="1">
      <alignment horizontal="center" vertical="center"/>
    </xf>
    <xf numFmtId="0" fontId="30" fillId="6" borderId="17" xfId="5" applyFont="1" applyFill="1" applyBorder="1" applyAlignment="1">
      <alignment horizontal="center" vertical="center"/>
    </xf>
    <xf numFmtId="178" fontId="2" fillId="7" borderId="27" xfId="0" applyNumberFormat="1" applyFont="1" applyFill="1" applyBorder="1" applyAlignment="1">
      <alignment horizontal="left" wrapText="1"/>
    </xf>
    <xf numFmtId="0" fontId="0" fillId="0" borderId="14" xfId="0" applyBorder="1"/>
    <xf numFmtId="0" fontId="0" fillId="7" borderId="14" xfId="0" applyFill="1" applyBorder="1"/>
    <xf numFmtId="0" fontId="0" fillId="7" borderId="40" xfId="0" applyFill="1" applyBorder="1"/>
    <xf numFmtId="0" fontId="0" fillId="0" borderId="15" xfId="0" applyBorder="1"/>
    <xf numFmtId="0" fontId="6" fillId="0" borderId="16" xfId="0" applyFont="1" applyBorder="1"/>
    <xf numFmtId="176" fontId="22" fillId="5" borderId="0" xfId="5" applyNumberFormat="1" applyFont="1" applyFill="1" applyAlignment="1">
      <alignment horizontal="center" wrapText="1"/>
    </xf>
    <xf numFmtId="176" fontId="22" fillId="5" borderId="12" xfId="5" applyNumberFormat="1" applyFont="1" applyFill="1" applyBorder="1" applyAlignment="1">
      <alignment horizontal="center"/>
    </xf>
    <xf numFmtId="0" fontId="7" fillId="0" borderId="0" xfId="0" applyFont="1"/>
    <xf numFmtId="0" fontId="3" fillId="0" borderId="0" xfId="0" applyFont="1"/>
    <xf numFmtId="0" fontId="18" fillId="2" borderId="0" xfId="0" applyFont="1" applyFill="1"/>
    <xf numFmtId="173" fontId="5" fillId="0" borderId="0" xfId="0" applyNumberFormat="1" applyFont="1"/>
    <xf numFmtId="171" fontId="0" fillId="0" borderId="0" xfId="0" applyNumberFormat="1" applyAlignment="1">
      <alignment horizontal="right"/>
    </xf>
    <xf numFmtId="0" fontId="10" fillId="0" borderId="16" xfId="0" applyFont="1" applyBorder="1"/>
    <xf numFmtId="0" fontId="13" fillId="0" borderId="16" xfId="0" applyFont="1" applyBorder="1"/>
    <xf numFmtId="0" fontId="0" fillId="3" borderId="0" xfId="0" applyFill="1" applyAlignment="1">
      <alignment wrapText="1"/>
    </xf>
    <xf numFmtId="164" fontId="0" fillId="0" borderId="0" xfId="1" applyNumberFormat="1" applyFont="1" applyBorder="1"/>
    <xf numFmtId="0" fontId="16" fillId="0" borderId="0" xfId="0" applyFont="1" applyAlignment="1">
      <alignment horizontal="left" vertical="center"/>
    </xf>
    <xf numFmtId="0" fontId="0" fillId="0" borderId="16" xfId="0" applyBorder="1" applyAlignment="1">
      <alignment horizontal="left"/>
    </xf>
    <xf numFmtId="0" fontId="0" fillId="0" borderId="0" xfId="0" applyAlignment="1">
      <alignment horizontal="left" wrapText="1"/>
    </xf>
    <xf numFmtId="175" fontId="0" fillId="0" borderId="0" xfId="0" applyNumberFormat="1"/>
    <xf numFmtId="0" fontId="18" fillId="0" borderId="0" xfId="0" applyFont="1" applyAlignment="1">
      <alignment vertical="center" wrapText="1"/>
    </xf>
    <xf numFmtId="0" fontId="0" fillId="0" borderId="10" xfId="0" applyBorder="1" applyAlignment="1">
      <alignment wrapText="1"/>
    </xf>
    <xf numFmtId="0" fontId="9" fillId="0" borderId="12" xfId="0" applyFont="1" applyBorder="1"/>
    <xf numFmtId="0" fontId="35" fillId="0" borderId="0" xfId="0" applyFont="1"/>
    <xf numFmtId="0" fontId="36" fillId="0" borderId="0" xfId="0" applyFont="1"/>
    <xf numFmtId="8" fontId="2" fillId="7" borderId="5" xfId="0" applyNumberFormat="1" applyFont="1" applyFill="1" applyBorder="1"/>
    <xf numFmtId="8" fontId="2" fillId="7" borderId="17" xfId="0" applyNumberFormat="1" applyFont="1" applyFill="1" applyBorder="1"/>
    <xf numFmtId="8" fontId="2" fillId="7" borderId="18" xfId="0" applyNumberFormat="1" applyFont="1" applyFill="1" applyBorder="1"/>
    <xf numFmtId="8" fontId="2" fillId="7" borderId="8" xfId="0" applyNumberFormat="1" applyFont="1" applyFill="1" applyBorder="1"/>
    <xf numFmtId="8" fontId="2" fillId="7" borderId="19" xfId="0" applyNumberFormat="1" applyFont="1" applyFill="1" applyBorder="1"/>
    <xf numFmtId="0" fontId="36" fillId="0" borderId="0" xfId="0" applyFont="1" applyAlignment="1">
      <alignment vertical="center" wrapText="1"/>
    </xf>
    <xf numFmtId="0" fontId="37" fillId="0" borderId="0" xfId="2" applyFont="1" applyBorder="1" applyAlignment="1">
      <alignment vertical="center" wrapText="1"/>
    </xf>
    <xf numFmtId="0" fontId="12" fillId="6" borderId="9" xfId="0" applyFont="1" applyFill="1" applyBorder="1" applyAlignment="1">
      <alignment horizontal="left"/>
    </xf>
    <xf numFmtId="0" fontId="12" fillId="6" borderId="5" xfId="0" applyFont="1" applyFill="1" applyBorder="1" applyAlignment="1">
      <alignment horizontal="left"/>
    </xf>
    <xf numFmtId="0" fontId="12" fillId="6" borderId="17" xfId="0" applyFont="1" applyFill="1" applyBorder="1" applyAlignment="1">
      <alignment horizontal="left"/>
    </xf>
    <xf numFmtId="0" fontId="12" fillId="6" borderId="41" xfId="0" applyFont="1" applyFill="1" applyBorder="1" applyAlignment="1">
      <alignment horizontal="left" wrapText="1"/>
    </xf>
    <xf numFmtId="0" fontId="12" fillId="6" borderId="41" xfId="0" applyFont="1" applyFill="1" applyBorder="1" applyAlignment="1">
      <alignment horizontal="left"/>
    </xf>
    <xf numFmtId="0" fontId="12" fillId="6" borderId="45" xfId="0" applyFont="1" applyFill="1" applyBorder="1" applyAlignment="1">
      <alignment horizontal="left"/>
    </xf>
    <xf numFmtId="0" fontId="2" fillId="7" borderId="6" xfId="0" applyFont="1" applyFill="1" applyBorder="1"/>
    <xf numFmtId="0" fontId="4" fillId="7" borderId="18" xfId="2" applyFill="1" applyBorder="1" applyAlignment="1"/>
    <xf numFmtId="0" fontId="2" fillId="0" borderId="44" xfId="0" applyFont="1" applyBorder="1"/>
    <xf numFmtId="0" fontId="0" fillId="0" borderId="18" xfId="0" applyBorder="1"/>
    <xf numFmtId="0" fontId="2" fillId="0" borderId="6" xfId="0" applyFont="1" applyBorder="1"/>
    <xf numFmtId="0" fontId="4" fillId="0" borderId="18" xfId="2" applyBorder="1" applyAlignment="1"/>
    <xf numFmtId="0" fontId="4" fillId="0" borderId="18" xfId="2" applyBorder="1" applyAlignment="1">
      <alignment vertical="center"/>
    </xf>
    <xf numFmtId="9" fontId="2" fillId="7" borderId="8" xfId="0" applyNumberFormat="1" applyFont="1" applyFill="1" applyBorder="1" applyAlignment="1">
      <alignment horizontal="right" vertical="center" wrapText="1"/>
    </xf>
    <xf numFmtId="0" fontId="2" fillId="0" borderId="8" xfId="0" applyFont="1" applyBorder="1" applyAlignment="1">
      <alignment vertical="center" wrapText="1"/>
    </xf>
    <xf numFmtId="0" fontId="4" fillId="0" borderId="19" xfId="2" applyBorder="1" applyAlignment="1"/>
    <xf numFmtId="0" fontId="4" fillId="7" borderId="18" xfId="2" applyFill="1" applyBorder="1" applyAlignment="1">
      <alignment horizontal="left"/>
    </xf>
    <xf numFmtId="0" fontId="0" fillId="7" borderId="18" xfId="0" applyFill="1" applyBorder="1"/>
    <xf numFmtId="0" fontId="4" fillId="0" borderId="18" xfId="2" applyBorder="1" applyAlignment="1">
      <alignment horizontal="left"/>
    </xf>
    <xf numFmtId="0" fontId="4" fillId="0" borderId="18" xfId="2" applyBorder="1" applyAlignment="1">
      <alignment horizontal="left" vertical="center"/>
    </xf>
    <xf numFmtId="9" fontId="2" fillId="7" borderId="8" xfId="0" applyNumberFormat="1" applyFont="1" applyFill="1" applyBorder="1"/>
    <xf numFmtId="0" fontId="4" fillId="0" borderId="19" xfId="2" applyBorder="1" applyAlignment="1">
      <alignment horizontal="left"/>
    </xf>
    <xf numFmtId="0" fontId="2" fillId="6" borderId="1" xfId="0" applyFont="1" applyFill="1" applyBorder="1"/>
    <xf numFmtId="0" fontId="2" fillId="7" borderId="1" xfId="0" applyFont="1" applyFill="1" applyBorder="1" applyAlignment="1">
      <alignment horizontal="left" vertical="center"/>
    </xf>
    <xf numFmtId="0" fontId="2" fillId="7" borderId="1" xfId="0" applyFont="1" applyFill="1" applyBorder="1" applyAlignment="1">
      <alignment horizontal="left" vertical="center" wrapText="1"/>
    </xf>
    <xf numFmtId="0" fontId="2" fillId="6" borderId="43" xfId="0" applyFont="1" applyFill="1" applyBorder="1" applyAlignment="1">
      <alignment horizontal="left" vertical="center" wrapText="1"/>
    </xf>
    <xf numFmtId="0" fontId="2" fillId="0" borderId="13" xfId="0" applyFont="1" applyBorder="1"/>
    <xf numFmtId="0" fontId="2" fillId="0" borderId="14" xfId="0" applyFont="1" applyBorder="1"/>
    <xf numFmtId="0" fontId="2" fillId="0" borderId="15" xfId="0" applyFont="1" applyBorder="1"/>
    <xf numFmtId="0" fontId="2" fillId="6" borderId="37" xfId="0" applyFont="1" applyFill="1" applyBorder="1" applyAlignment="1">
      <alignment horizontal="left" vertical="center" wrapText="1"/>
    </xf>
    <xf numFmtId="0" fontId="2" fillId="6" borderId="38" xfId="0" applyFont="1" applyFill="1" applyBorder="1" applyAlignment="1">
      <alignment horizontal="left" vertical="center" wrapText="1"/>
    </xf>
    <xf numFmtId="0" fontId="12" fillId="6" borderId="9" xfId="0" applyFont="1" applyFill="1" applyBorder="1"/>
    <xf numFmtId="179" fontId="2" fillId="7" borderId="1" xfId="1" applyNumberFormat="1" applyFont="1" applyFill="1" applyBorder="1" applyAlignment="1">
      <alignment horizontal="left" vertical="center"/>
    </xf>
    <xf numFmtId="0" fontId="9" fillId="6" borderId="1" xfId="0" applyFont="1" applyFill="1" applyBorder="1"/>
    <xf numFmtId="0" fontId="21" fillId="0" borderId="0" xfId="5" applyFont="1" applyAlignment="1">
      <alignment horizontal="left"/>
    </xf>
    <xf numFmtId="0" fontId="22" fillId="0" borderId="0" xfId="5" applyFont="1"/>
    <xf numFmtId="176" fontId="22" fillId="0" borderId="0" xfId="5" applyNumberFormat="1" applyFont="1" applyAlignment="1">
      <alignment horizontal="center"/>
    </xf>
    <xf numFmtId="0" fontId="25" fillId="5" borderId="0" xfId="5" applyFont="1" applyFill="1" applyAlignment="1">
      <alignment horizontal="left"/>
    </xf>
    <xf numFmtId="0" fontId="9" fillId="0" borderId="0" xfId="0" applyFont="1" applyAlignment="1">
      <alignment horizontal="center"/>
    </xf>
    <xf numFmtId="0" fontId="3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26" fillId="0" borderId="0" xfId="0" applyFont="1" applyAlignment="1">
      <alignment vertical="center" wrapText="1"/>
    </xf>
    <xf numFmtId="0" fontId="9" fillId="0" borderId="0" xfId="0" applyFont="1" applyAlignment="1">
      <alignment horizontal="right" wrapText="1"/>
    </xf>
    <xf numFmtId="9" fontId="2" fillId="0" borderId="0" xfId="0" applyNumberFormat="1" applyFont="1" applyAlignment="1">
      <alignment vertical="center" wrapText="1"/>
    </xf>
    <xf numFmtId="167" fontId="2" fillId="0" borderId="0" xfId="0" quotePrefix="1" applyNumberFormat="1" applyFont="1" applyAlignment="1">
      <alignment vertical="center"/>
    </xf>
    <xf numFmtId="1" fontId="2" fillId="0" borderId="12" xfId="0" applyNumberFormat="1" applyFont="1" applyBorder="1" applyAlignment="1">
      <alignment horizontal="center" vertical="center"/>
    </xf>
    <xf numFmtId="1" fontId="2" fillId="0" borderId="0" xfId="0" applyNumberFormat="1" applyFont="1" applyAlignment="1">
      <alignment horizontal="center" vertical="center"/>
    </xf>
    <xf numFmtId="0" fontId="9" fillId="0" borderId="0" xfId="0" applyFont="1" applyAlignment="1">
      <alignment horizontal="left"/>
    </xf>
    <xf numFmtId="0" fontId="2" fillId="0" borderId="1" xfId="0" applyFont="1" applyBorder="1" applyAlignment="1">
      <alignment vertical="center" wrapText="1"/>
    </xf>
    <xf numFmtId="49" fontId="2" fillId="0" borderId="1" xfId="0" applyNumberFormat="1" applyFont="1" applyBorder="1" applyAlignment="1">
      <alignment horizontal="left" vertical="center"/>
    </xf>
    <xf numFmtId="0" fontId="33" fillId="0" borderId="0" xfId="0" applyFont="1" applyAlignment="1">
      <alignment horizontal="left" vertical="center" wrapText="1"/>
    </xf>
    <xf numFmtId="172" fontId="0" fillId="7" borderId="0" xfId="0" applyNumberFormat="1" applyFill="1" applyAlignment="1">
      <alignment wrapText="1"/>
    </xf>
    <xf numFmtId="0" fontId="11" fillId="0" borderId="0" xfId="0" applyFont="1" applyAlignment="1">
      <alignment horizontal="left" vertical="center" wrapText="1"/>
    </xf>
    <xf numFmtId="1" fontId="24" fillId="7" borderId="19" xfId="3" applyNumberFormat="1" applyFont="1" applyFill="1" applyBorder="1" applyAlignment="1">
      <alignment horizontal="center"/>
    </xf>
    <xf numFmtId="0" fontId="9" fillId="0" borderId="4" xfId="0" applyFont="1" applyBorder="1" applyAlignment="1">
      <alignment horizontal="left" vertical="center"/>
    </xf>
    <xf numFmtId="0" fontId="8" fillId="7" borderId="17" xfId="4" applyFont="1" applyFill="1" applyBorder="1" applyAlignment="1">
      <alignment horizontal="left" wrapText="1"/>
    </xf>
    <xf numFmtId="0" fontId="9" fillId="0" borderId="6" xfId="0" applyFont="1" applyBorder="1" applyAlignment="1">
      <alignment horizontal="left"/>
    </xf>
    <xf numFmtId="0" fontId="8" fillId="7" borderId="18" xfId="4" applyFont="1" applyFill="1" applyBorder="1" applyAlignment="1">
      <alignment horizontal="left"/>
    </xf>
    <xf numFmtId="0" fontId="9" fillId="0" borderId="7" xfId="0" applyFont="1" applyBorder="1" applyAlignment="1">
      <alignment horizontal="left"/>
    </xf>
    <xf numFmtId="0" fontId="8" fillId="7" borderId="19" xfId="4" applyFont="1" applyFill="1" applyBorder="1" applyAlignment="1">
      <alignment horizontal="left"/>
    </xf>
    <xf numFmtId="167" fontId="24" fillId="7" borderId="1" xfId="3" applyNumberFormat="1" applyFont="1" applyFill="1" applyBorder="1" applyAlignment="1">
      <alignment horizontal="center" vertical="center"/>
    </xf>
    <xf numFmtId="167" fontId="24" fillId="7" borderId="18" xfId="3" applyNumberFormat="1" applyFont="1" applyFill="1" applyBorder="1" applyAlignment="1">
      <alignment horizontal="center" vertical="center"/>
    </xf>
    <xf numFmtId="10" fontId="2" fillId="10" borderId="41" xfId="0" applyNumberFormat="1" applyFont="1" applyFill="1" applyBorder="1" applyAlignment="1">
      <alignment horizontal="right"/>
    </xf>
    <xf numFmtId="10" fontId="2" fillId="11" borderId="41" xfId="0" applyNumberFormat="1" applyFont="1" applyFill="1" applyBorder="1" applyAlignment="1">
      <alignment horizontal="right"/>
    </xf>
    <xf numFmtId="10" fontId="2" fillId="11" borderId="1" xfId="0" applyNumberFormat="1" applyFont="1" applyFill="1" applyBorder="1" applyAlignment="1">
      <alignment horizontal="right"/>
    </xf>
    <xf numFmtId="0" fontId="2" fillId="0" borderId="49" xfId="0" applyFont="1" applyBorder="1" applyAlignment="1">
      <alignment horizontal="left" vertical="center" wrapText="1"/>
    </xf>
    <xf numFmtId="1" fontId="24" fillId="5" borderId="42" xfId="3" applyNumberFormat="1" applyFont="1" applyFill="1" applyBorder="1" applyAlignment="1">
      <alignment horizontal="center" vertical="center"/>
    </xf>
    <xf numFmtId="2" fontId="2" fillId="0" borderId="1" xfId="0" applyNumberFormat="1" applyFont="1" applyBorder="1" applyAlignment="1">
      <alignment horizontal="left" vertical="center"/>
    </xf>
    <xf numFmtId="177" fontId="9" fillId="2" borderId="1" xfId="0" applyNumberFormat="1" applyFont="1" applyFill="1" applyBorder="1" applyAlignment="1">
      <alignment horizontal="right"/>
    </xf>
    <xf numFmtId="165" fontId="12" fillId="2" borderId="3" xfId="0" applyNumberFormat="1" applyFont="1" applyFill="1" applyBorder="1"/>
    <xf numFmtId="3" fontId="2" fillId="11" borderId="18" xfId="0" applyNumberFormat="1" applyFont="1" applyFill="1" applyBorder="1" applyAlignment="1">
      <alignment horizontal="right"/>
    </xf>
    <xf numFmtId="165" fontId="9" fillId="2" borderId="8" xfId="0" applyNumberFormat="1" applyFont="1" applyFill="1" applyBorder="1"/>
    <xf numFmtId="165" fontId="9" fillId="2" borderId="19" xfId="0" applyNumberFormat="1" applyFont="1" applyFill="1" applyBorder="1"/>
    <xf numFmtId="177" fontId="9" fillId="2" borderId="8" xfId="0" applyNumberFormat="1" applyFont="1" applyFill="1" applyBorder="1" applyAlignment="1">
      <alignment horizontal="right"/>
    </xf>
    <xf numFmtId="165" fontId="14" fillId="2" borderId="8" xfId="0" applyNumberFormat="1" applyFont="1" applyFill="1" applyBorder="1"/>
    <xf numFmtId="165" fontId="2" fillId="7" borderId="5" xfId="0" applyNumberFormat="1" applyFont="1" applyFill="1" applyBorder="1" applyAlignment="1">
      <alignment horizontal="right"/>
    </xf>
    <xf numFmtId="0" fontId="2" fillId="9" borderId="8" xfId="0" applyFont="1" applyFill="1" applyBorder="1" applyAlignment="1">
      <alignment wrapText="1"/>
    </xf>
    <xf numFmtId="0" fontId="11" fillId="9" borderId="1" xfId="0" applyFont="1" applyFill="1" applyBorder="1" applyAlignment="1">
      <alignment wrapText="1"/>
    </xf>
    <xf numFmtId="0" fontId="11" fillId="9" borderId="8" xfId="0" applyFont="1" applyFill="1" applyBorder="1" applyAlignment="1">
      <alignment wrapText="1"/>
    </xf>
    <xf numFmtId="165" fontId="12" fillId="2" borderId="8" xfId="0" applyNumberFormat="1" applyFont="1" applyFill="1" applyBorder="1"/>
    <xf numFmtId="9" fontId="2" fillId="11" borderId="5" xfId="0" applyNumberFormat="1" applyFont="1" applyFill="1" applyBorder="1"/>
    <xf numFmtId="9" fontId="2" fillId="10" borderId="5" xfId="0" applyNumberFormat="1" applyFont="1" applyFill="1" applyBorder="1" applyAlignment="1">
      <alignment horizontal="right"/>
    </xf>
    <xf numFmtId="9" fontId="2" fillId="11" borderId="5" xfId="0" applyNumberFormat="1" applyFont="1" applyFill="1" applyBorder="1" applyAlignment="1">
      <alignment horizontal="right"/>
    </xf>
    <xf numFmtId="9" fontId="2" fillId="11" borderId="17" xfId="0" applyNumberFormat="1" applyFont="1" applyFill="1" applyBorder="1" applyAlignment="1">
      <alignment horizontal="right"/>
    </xf>
    <xf numFmtId="43" fontId="2" fillId="7" borderId="18" xfId="1" applyFont="1" applyFill="1" applyBorder="1"/>
    <xf numFmtId="165" fontId="2" fillId="7" borderId="17" xfId="0" applyNumberFormat="1" applyFont="1" applyFill="1" applyBorder="1"/>
    <xf numFmtId="179" fontId="38" fillId="7" borderId="1" xfId="1" applyNumberFormat="1" applyFont="1" applyFill="1" applyBorder="1" applyAlignment="1">
      <alignment horizontal="left" vertical="center"/>
    </xf>
    <xf numFmtId="0" fontId="38" fillId="7" borderId="1" xfId="0" applyFont="1" applyFill="1" applyBorder="1" applyAlignment="1">
      <alignment horizontal="left" vertical="center"/>
    </xf>
    <xf numFmtId="166" fontId="8" fillId="0" borderId="1" xfId="0" applyNumberFormat="1" applyFont="1" applyBorder="1" applyAlignment="1">
      <alignment wrapText="1"/>
    </xf>
    <xf numFmtId="166" fontId="8" fillId="0" borderId="1" xfId="0" applyNumberFormat="1" applyFont="1" applyBorder="1"/>
    <xf numFmtId="166" fontId="8" fillId="0" borderId="1" xfId="0" applyNumberFormat="1" applyFont="1" applyBorder="1" applyAlignment="1">
      <alignment horizontal="right"/>
    </xf>
    <xf numFmtId="0" fontId="21" fillId="7" borderId="16" xfId="5" applyFont="1" applyFill="1" applyBorder="1" applyAlignment="1">
      <alignment horizontal="left"/>
    </xf>
    <xf numFmtId="176" fontId="22" fillId="7" borderId="0" xfId="5" applyNumberFormat="1" applyFont="1" applyFill="1" applyAlignment="1">
      <alignment horizontal="center" wrapText="1"/>
    </xf>
    <xf numFmtId="0" fontId="22" fillId="7" borderId="0" xfId="5" applyFont="1" applyFill="1"/>
    <xf numFmtId="176" fontId="22" fillId="7" borderId="0" xfId="5" applyNumberFormat="1" applyFont="1" applyFill="1" applyAlignment="1">
      <alignment horizontal="center"/>
    </xf>
    <xf numFmtId="176" fontId="22" fillId="7" borderId="12" xfId="5" applyNumberFormat="1" applyFont="1" applyFill="1" applyBorder="1" applyAlignment="1">
      <alignment horizontal="center"/>
    </xf>
    <xf numFmtId="177" fontId="2" fillId="7" borderId="1" xfId="0" applyNumberFormat="1" applyFont="1" applyFill="1" applyBorder="1"/>
    <xf numFmtId="177" fontId="2" fillId="2" borderId="1" xfId="0" applyNumberFormat="1" applyFont="1" applyFill="1" applyBorder="1"/>
    <xf numFmtId="177" fontId="2" fillId="10" borderId="5" xfId="0" applyNumberFormat="1" applyFont="1" applyFill="1" applyBorder="1"/>
    <xf numFmtId="177" fontId="2" fillId="2" borderId="1" xfId="0" applyNumberFormat="1" applyFont="1" applyFill="1" applyBorder="1" applyAlignment="1">
      <alignment horizontal="right"/>
    </xf>
    <xf numFmtId="165" fontId="2" fillId="7" borderId="1" xfId="0" applyNumberFormat="1" applyFont="1" applyFill="1" applyBorder="1"/>
    <xf numFmtId="165" fontId="2" fillId="7" borderId="18" xfId="0" applyNumberFormat="1" applyFont="1" applyFill="1" applyBorder="1"/>
    <xf numFmtId="177" fontId="2" fillId="7" borderId="18" xfId="0" applyNumberFormat="1" applyFont="1" applyFill="1" applyBorder="1"/>
    <xf numFmtId="177" fontId="2" fillId="2" borderId="18" xfId="0" applyNumberFormat="1" applyFont="1" applyFill="1" applyBorder="1"/>
    <xf numFmtId="177" fontId="2" fillId="11" borderId="5" xfId="0" applyNumberFormat="1" applyFont="1" applyFill="1" applyBorder="1"/>
    <xf numFmtId="167" fontId="32" fillId="12" borderId="27" xfId="0" applyNumberFormat="1" applyFont="1" applyFill="1" applyBorder="1" applyAlignment="1">
      <alignment horizontal="left" wrapText="1"/>
    </xf>
    <xf numFmtId="0" fontId="29" fillId="4" borderId="39" xfId="5" applyFont="1" applyFill="1" applyBorder="1" applyAlignment="1">
      <alignment horizontal="left" vertical="center"/>
    </xf>
    <xf numFmtId="0" fontId="29" fillId="4" borderId="14" xfId="5" applyFont="1" applyFill="1" applyBorder="1" applyAlignment="1">
      <alignment horizontal="center" vertical="center"/>
    </xf>
    <xf numFmtId="2" fontId="2" fillId="11" borderId="1" xfId="0" applyNumberFormat="1" applyFont="1" applyFill="1" applyBorder="1"/>
    <xf numFmtId="2" fontId="2" fillId="11" borderId="1" xfId="0" applyNumberFormat="1" applyFont="1" applyFill="1" applyBorder="1" applyAlignment="1">
      <alignment horizontal="right"/>
    </xf>
    <xf numFmtId="2" fontId="2" fillId="11" borderId="18" xfId="0" applyNumberFormat="1" applyFont="1" applyFill="1" applyBorder="1" applyAlignment="1">
      <alignment horizontal="right"/>
    </xf>
    <xf numFmtId="0" fontId="39" fillId="0" borderId="10" xfId="0" applyFont="1" applyBorder="1"/>
    <xf numFmtId="0" fontId="2" fillId="6" borderId="0" xfId="0" applyFont="1" applyFill="1"/>
    <xf numFmtId="0" fontId="2" fillId="6" borderId="1" xfId="0" applyFont="1" applyFill="1" applyBorder="1" applyAlignment="1">
      <alignment wrapText="1"/>
    </xf>
    <xf numFmtId="2" fontId="9" fillId="0" borderId="1" xfId="0" applyNumberFormat="1" applyFont="1" applyBorder="1" applyAlignment="1">
      <alignment horizontal="left" vertical="center"/>
    </xf>
    <xf numFmtId="167" fontId="0" fillId="0" borderId="1" xfId="0" applyNumberFormat="1" applyBorder="1"/>
    <xf numFmtId="9" fontId="0" fillId="0" borderId="8" xfId="0" applyNumberFormat="1" applyBorder="1" applyAlignment="1">
      <alignment horizontal="center" vertical="center"/>
    </xf>
    <xf numFmtId="9" fontId="0" fillId="0" borderId="18" xfId="0" applyNumberFormat="1" applyBorder="1"/>
    <xf numFmtId="0" fontId="2" fillId="6" borderId="16" xfId="0" applyFont="1" applyFill="1" applyBorder="1"/>
    <xf numFmtId="167" fontId="0" fillId="0" borderId="13" xfId="0" applyNumberFormat="1" applyBorder="1"/>
    <xf numFmtId="167" fontId="0" fillId="0" borderId="11" xfId="0" applyNumberFormat="1" applyBorder="1"/>
    <xf numFmtId="167" fontId="0" fillId="0" borderId="51" xfId="0" applyNumberFormat="1" applyBorder="1"/>
    <xf numFmtId="167" fontId="28" fillId="0" borderId="51" xfId="0" applyNumberFormat="1" applyFont="1" applyBorder="1"/>
    <xf numFmtId="166" fontId="8" fillId="7" borderId="1" xfId="0" applyNumberFormat="1" applyFont="1" applyFill="1" applyBorder="1" applyAlignment="1">
      <alignment horizontal="right"/>
    </xf>
    <xf numFmtId="0" fontId="14" fillId="0" borderId="1" xfId="0" applyFont="1" applyBorder="1" applyAlignment="1">
      <alignment vertical="center" wrapText="1"/>
    </xf>
    <xf numFmtId="0" fontId="40" fillId="0" borderId="1" xfId="0" applyFont="1" applyBorder="1" applyAlignment="1">
      <alignment vertical="center"/>
    </xf>
    <xf numFmtId="172" fontId="40" fillId="0" borderId="1" xfId="0" applyNumberFormat="1" applyFont="1" applyBorder="1" applyAlignment="1">
      <alignment vertical="center" wrapText="1"/>
    </xf>
    <xf numFmtId="172" fontId="15" fillId="0" borderId="1" xfId="0" applyNumberFormat="1" applyFont="1" applyBorder="1" applyAlignment="1">
      <alignment vertical="center" wrapText="1"/>
    </xf>
    <xf numFmtId="172" fontId="15" fillId="0" borderId="1" xfId="0" applyNumberFormat="1" applyFont="1" applyBorder="1" applyAlignment="1">
      <alignment vertical="center"/>
    </xf>
    <xf numFmtId="0" fontId="0" fillId="7" borderId="28" xfId="0" applyFill="1" applyBorder="1" applyAlignment="1">
      <alignment horizontal="left"/>
    </xf>
    <xf numFmtId="0" fontId="0" fillId="7" borderId="12" xfId="0" applyFill="1" applyBorder="1" applyAlignment="1">
      <alignment horizontal="left"/>
    </xf>
    <xf numFmtId="0" fontId="2" fillId="7" borderId="46" xfId="0" applyFont="1" applyFill="1" applyBorder="1" applyAlignment="1">
      <alignment horizontal="left" vertical="center" wrapText="1"/>
    </xf>
    <xf numFmtId="0" fontId="2" fillId="7" borderId="47" xfId="0" applyFont="1" applyFill="1" applyBorder="1" applyAlignment="1">
      <alignment horizontal="left" vertical="center" wrapText="1"/>
    </xf>
    <xf numFmtId="0" fontId="2" fillId="7" borderId="48" xfId="0" applyFont="1" applyFill="1" applyBorder="1" applyAlignment="1">
      <alignment horizontal="left" vertical="center" wrapText="1"/>
    </xf>
    <xf numFmtId="0" fontId="2" fillId="7" borderId="30" xfId="0" applyFont="1" applyFill="1" applyBorder="1" applyAlignment="1">
      <alignment horizontal="left" vertical="center" wrapText="1"/>
    </xf>
    <xf numFmtId="0" fontId="2" fillId="7" borderId="31" xfId="0" applyFont="1" applyFill="1" applyBorder="1" applyAlignment="1">
      <alignment horizontal="left" vertical="center" wrapText="1"/>
    </xf>
    <xf numFmtId="0" fontId="7" fillId="0" borderId="0" xfId="0" applyFont="1" applyAlignment="1">
      <alignment horizontal="left"/>
    </xf>
    <xf numFmtId="0" fontId="7" fillId="0" borderId="16" xfId="0" applyFont="1" applyBorder="1" applyAlignment="1">
      <alignment horizontal="left"/>
    </xf>
    <xf numFmtId="0" fontId="2" fillId="0" borderId="9" xfId="0" applyFont="1" applyBorder="1" applyAlignment="1">
      <alignment horizontal="center" vertical="center"/>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14" fillId="2" borderId="11" xfId="0" applyFont="1" applyFill="1" applyBorder="1" applyAlignment="1">
      <alignment horizontal="left"/>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4" fillId="0" borderId="1" xfId="0" applyFont="1" applyBorder="1" applyAlignment="1">
      <alignment horizontal="left" vertical="center" wrapText="1"/>
    </xf>
    <xf numFmtId="172" fontId="15" fillId="0" borderId="1" xfId="0" applyNumberFormat="1" applyFont="1" applyBorder="1" applyAlignment="1">
      <alignment horizontal="left" vertical="center"/>
    </xf>
    <xf numFmtId="0" fontId="15" fillId="0" borderId="1" xfId="0" applyFont="1" applyBorder="1" applyAlignment="1">
      <alignment horizontal="left" vertical="center"/>
    </xf>
    <xf numFmtId="0" fontId="14" fillId="2" borderId="32" xfId="0" applyFont="1" applyFill="1" applyBorder="1" applyAlignment="1">
      <alignment horizontal="left"/>
    </xf>
    <xf numFmtId="0" fontId="14" fillId="2" borderId="13" xfId="0" applyFont="1" applyFill="1" applyBorder="1" applyAlignment="1">
      <alignment horizontal="left"/>
    </xf>
    <xf numFmtId="0" fontId="2" fillId="0" borderId="4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left" vertical="center" wrapText="1"/>
    </xf>
    <xf numFmtId="0" fontId="2" fillId="0" borderId="3" xfId="0" applyFont="1" applyBorder="1" applyAlignment="1">
      <alignment vertical="center"/>
    </xf>
    <xf numFmtId="0" fontId="2" fillId="0" borderId="2" xfId="0" applyFont="1" applyBorder="1" applyAlignment="1">
      <alignment vertical="center"/>
    </xf>
    <xf numFmtId="0" fontId="2" fillId="0" borderId="11" xfId="0" applyFont="1" applyBorder="1" applyAlignment="1">
      <alignment vertical="center"/>
    </xf>
  </cellXfs>
  <cellStyles count="6">
    <cellStyle name="Eingabe" xfId="4" builtinId="20"/>
    <cellStyle name="Komma" xfId="1" builtinId="3"/>
    <cellStyle name="Link" xfId="2" builtinId="8"/>
    <cellStyle name="Normal 3" xfId="5" xr:uid="{791409E8-066B-4291-8126-D4874143ECBF}"/>
    <cellStyle name="Prozent" xfId="3" builtinId="5"/>
    <cellStyle name="Standard" xfId="0" builtinId="0"/>
  </cellStyles>
  <dxfs count="22">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theme="0"/>
      </font>
      <fill>
        <patternFill>
          <bgColor rgb="FFB4463C"/>
        </patternFill>
      </fill>
    </dxf>
    <dxf>
      <fill>
        <patternFill>
          <bgColor rgb="FFE1BE6E"/>
        </patternFill>
      </fill>
    </dxf>
    <dxf>
      <fill>
        <patternFill>
          <bgColor rgb="FF96B473"/>
        </patternFill>
      </fill>
    </dxf>
    <dxf>
      <font>
        <color theme="0"/>
      </font>
      <fill>
        <patternFill>
          <bgColor rgb="FFB4463C"/>
        </patternFill>
      </fill>
    </dxf>
    <dxf>
      <fill>
        <patternFill>
          <bgColor rgb="FFE1BE6E"/>
        </patternFill>
      </fill>
    </dxf>
    <dxf>
      <fill>
        <patternFill>
          <bgColor rgb="FF96B473"/>
        </patternFill>
      </fill>
    </dxf>
  </dxfs>
  <tableStyles count="0" defaultTableStyle="TableStyleMedium2" defaultPivotStyle="PivotStyleLight16"/>
  <colors>
    <mruColors>
      <color rgb="FF8CA0C3"/>
      <color rgb="FFBED2E1"/>
      <color rgb="FFF0D7AA"/>
      <color rgb="FFDCA591"/>
      <color rgb="FFCDD2B4"/>
      <color rgb="FFC8A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r>
              <a:rPr lang="en-US" b="1"/>
              <a:t>Present Value vs. Project Costs</a:t>
            </a:r>
          </a:p>
        </c:rich>
      </c:tx>
      <c:layout>
        <c:manualLayout>
          <c:xMode val="edge"/>
          <c:yMode val="edge"/>
          <c:x val="0.38266930231298235"/>
          <c:y val="2.772963388617406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endParaRPr lang="en-US"/>
        </a:p>
      </c:txPr>
    </c:title>
    <c:autoTitleDeleted val="0"/>
    <c:plotArea>
      <c:layout>
        <c:manualLayout>
          <c:layoutTarget val="inner"/>
          <c:xMode val="edge"/>
          <c:yMode val="edge"/>
          <c:x val="8.7407794014573548E-2"/>
          <c:y val="0.12003518151674583"/>
          <c:w val="0.91259220598542645"/>
          <c:h val="0.7410342539731522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DD2B4"/>
              </a:solidFill>
              <a:ln>
                <a:noFill/>
              </a:ln>
              <a:effectLst/>
            </c:spPr>
            <c:extLst>
              <c:ext xmlns:c16="http://schemas.microsoft.com/office/drawing/2014/chart" uri="{C3380CC4-5D6E-409C-BE32-E72D297353CC}">
                <c16:uniqueId val="{00000001-E39C-4090-B0CF-7A6C6A50EB27}"/>
              </c:ext>
            </c:extLst>
          </c:dPt>
          <c:dPt>
            <c:idx val="1"/>
            <c:invertIfNegative val="0"/>
            <c:bubble3D val="0"/>
            <c:spPr>
              <a:solidFill>
                <a:srgbClr val="CDD2B4"/>
              </a:solidFill>
              <a:ln>
                <a:noFill/>
              </a:ln>
              <a:effectLst/>
            </c:spPr>
            <c:extLst>
              <c:ext xmlns:c16="http://schemas.microsoft.com/office/drawing/2014/chart" uri="{C3380CC4-5D6E-409C-BE32-E72D297353CC}">
                <c16:uniqueId val="{00000003-E39C-4090-B0CF-7A6C6A50EB27}"/>
              </c:ext>
            </c:extLst>
          </c:dPt>
          <c:dPt>
            <c:idx val="2"/>
            <c:invertIfNegative val="0"/>
            <c:bubble3D val="0"/>
            <c:spPr>
              <a:solidFill>
                <a:srgbClr val="DCA591"/>
              </a:solidFill>
              <a:ln>
                <a:noFill/>
              </a:ln>
              <a:effectLst/>
            </c:spPr>
            <c:extLst>
              <c:ext xmlns:c16="http://schemas.microsoft.com/office/drawing/2014/chart" uri="{C3380CC4-5D6E-409C-BE32-E72D297353CC}">
                <c16:uniqueId val="{00000005-E39C-4090-B0CF-7A6C6A50EB27}"/>
              </c:ext>
            </c:extLst>
          </c:dPt>
          <c:dPt>
            <c:idx val="3"/>
            <c:invertIfNegative val="0"/>
            <c:bubble3D val="0"/>
            <c:spPr>
              <a:solidFill>
                <a:srgbClr val="CDD2B4"/>
              </a:solidFill>
              <a:ln>
                <a:noFill/>
              </a:ln>
              <a:effectLst/>
            </c:spPr>
            <c:extLst>
              <c:ext xmlns:c16="http://schemas.microsoft.com/office/drawing/2014/chart" uri="{C3380CC4-5D6E-409C-BE32-E72D297353CC}">
                <c16:uniqueId val="{00000007-E39C-4090-B0CF-7A6C6A50EB27}"/>
              </c:ext>
            </c:extLst>
          </c:dPt>
          <c:dPt>
            <c:idx val="4"/>
            <c:invertIfNegative val="0"/>
            <c:bubble3D val="0"/>
            <c:spPr>
              <a:solidFill>
                <a:srgbClr val="8CA0C3"/>
              </a:solidFill>
              <a:ln>
                <a:noFill/>
              </a:ln>
              <a:effectLst/>
            </c:spPr>
            <c:extLst>
              <c:ext xmlns:c16="http://schemas.microsoft.com/office/drawing/2014/chart" uri="{C3380CC4-5D6E-409C-BE32-E72D297353CC}">
                <c16:uniqueId val="{00000009-E39C-4090-B0CF-7A6C6A50EB27}"/>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Summary!$B$62:$C$66</c:f>
              <c:multiLvlStrCache>
                <c:ptCount val="5"/>
                <c:lvl>
                  <c:pt idx="0">
                    <c:v>Present Value (in 2021 EUR)</c:v>
                  </c:pt>
                  <c:pt idx="1">
                    <c:v>Present Value (in 2021 EUR)</c:v>
                  </c:pt>
                  <c:pt idx="2">
                    <c:v>Project Costs discounted (in 2021 EUR)</c:v>
                  </c:pt>
                  <c:pt idx="3">
                    <c:v>Present Value (in 2021 EUR)</c:v>
                  </c:pt>
                  <c:pt idx="4">
                    <c:v>Net Present Value (in 2021 EUR)</c:v>
                  </c:pt>
                </c:lvl>
                <c:lvl>
                  <c:pt idx="0">
                    <c:v>C2022</c:v>
                  </c:pt>
                  <c:pt idx="1">
                    <c:v>C2023</c:v>
                  </c:pt>
                  <c:pt idx="2">
                    <c:v>Combined</c:v>
                  </c:pt>
                </c:lvl>
              </c:multiLvlStrCache>
            </c:multiLvlStrRef>
          </c:cat>
          <c:val>
            <c:numRef>
              <c:f>Summary!$D$62:$D$66</c:f>
              <c:numCache>
                <c:formatCode>#,##0\ "€"</c:formatCode>
                <c:ptCount val="5"/>
                <c:pt idx="0">
                  <c:v>4309981.8288161987</c:v>
                </c:pt>
                <c:pt idx="1">
                  <c:v>6648767.0957032405</c:v>
                </c:pt>
                <c:pt idx="2">
                  <c:v>2759701.3817955777</c:v>
                </c:pt>
                <c:pt idx="3">
                  <c:v>10958748.92451944</c:v>
                </c:pt>
                <c:pt idx="4">
                  <c:v>8199047.5427238625</c:v>
                </c:pt>
              </c:numCache>
            </c:numRef>
          </c:val>
          <c:extLst>
            <c:ext xmlns:c16="http://schemas.microsoft.com/office/drawing/2014/chart" uri="{C3380CC4-5D6E-409C-BE32-E72D297353CC}">
              <c16:uniqueId val="{00000012-E39C-4090-B0CF-7A6C6A50EB27}"/>
            </c:ext>
          </c:extLst>
        </c:ser>
        <c:dLbls>
          <c:showLegendKey val="0"/>
          <c:showVal val="0"/>
          <c:showCatName val="0"/>
          <c:showSerName val="0"/>
          <c:showPercent val="0"/>
          <c:showBubbleSize val="0"/>
        </c:dLbls>
        <c:gapWidth val="100"/>
        <c:overlap val="-27"/>
        <c:axId val="843113504"/>
        <c:axId val="843114584"/>
      </c:barChart>
      <c:catAx>
        <c:axId val="84311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843114584"/>
        <c:crosses val="autoZero"/>
        <c:auto val="1"/>
        <c:lblAlgn val="ctr"/>
        <c:lblOffset val="100"/>
        <c:noMultiLvlLbl val="0"/>
      </c:catAx>
      <c:valAx>
        <c:axId val="843114584"/>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843113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Pero" panose="020F05060202030303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panose="020F0506020203030304" pitchFamily="34" charset="0"/>
                <a:ea typeface="+mn-ea"/>
                <a:cs typeface="+mn-cs"/>
              </a:defRPr>
            </a:pPr>
            <a:r>
              <a:rPr lang="en-US" sz="1400" b="1" i="0" u="none" strike="noStrike" kern="1200" spc="0" baseline="0">
                <a:solidFill>
                  <a:sysClr val="windowText" lastClr="000000"/>
                </a:solidFill>
                <a:latin typeface="Pero" panose="020F0506020203030304" pitchFamily="34" charset="0"/>
              </a:rPr>
              <a:t>Present Value vs. Costs per Household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panose="020F0506020203030304" pitchFamily="34"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DD2B4"/>
              </a:solidFill>
              <a:ln>
                <a:noFill/>
              </a:ln>
              <a:effectLst/>
            </c:spPr>
            <c:extLst>
              <c:ext xmlns:c16="http://schemas.microsoft.com/office/drawing/2014/chart" uri="{C3380CC4-5D6E-409C-BE32-E72D297353CC}">
                <c16:uniqueId val="{00000001-05FC-4629-8C3E-6795B99D24D8}"/>
              </c:ext>
            </c:extLst>
          </c:dPt>
          <c:dPt>
            <c:idx val="1"/>
            <c:invertIfNegative val="0"/>
            <c:bubble3D val="0"/>
            <c:spPr>
              <a:solidFill>
                <a:srgbClr val="CDD2B4"/>
              </a:solidFill>
              <a:ln>
                <a:noFill/>
              </a:ln>
              <a:effectLst/>
            </c:spPr>
            <c:extLst>
              <c:ext xmlns:c16="http://schemas.microsoft.com/office/drawing/2014/chart" uri="{C3380CC4-5D6E-409C-BE32-E72D297353CC}">
                <c16:uniqueId val="{00000003-05FC-4629-8C3E-6795B99D24D8}"/>
              </c:ext>
            </c:extLst>
          </c:dPt>
          <c:dPt>
            <c:idx val="2"/>
            <c:invertIfNegative val="0"/>
            <c:bubble3D val="0"/>
            <c:spPr>
              <a:solidFill>
                <a:srgbClr val="CDD2B4"/>
              </a:solidFill>
              <a:ln>
                <a:noFill/>
              </a:ln>
              <a:effectLst/>
            </c:spPr>
            <c:extLst>
              <c:ext xmlns:c16="http://schemas.microsoft.com/office/drawing/2014/chart" uri="{C3380CC4-5D6E-409C-BE32-E72D297353CC}">
                <c16:uniqueId val="{00000005-05FC-4629-8C3E-6795B99D24D8}"/>
              </c:ext>
            </c:extLst>
          </c:dPt>
          <c:dPt>
            <c:idx val="3"/>
            <c:invertIfNegative val="0"/>
            <c:bubble3D val="0"/>
            <c:spPr>
              <a:solidFill>
                <a:srgbClr val="DCA591"/>
              </a:solidFill>
              <a:ln>
                <a:noFill/>
              </a:ln>
              <a:effectLst/>
            </c:spPr>
            <c:extLst>
              <c:ext xmlns:c16="http://schemas.microsoft.com/office/drawing/2014/chart" uri="{C3380CC4-5D6E-409C-BE32-E72D297353CC}">
                <c16:uniqueId val="{00000007-05FC-4629-8C3E-6795B99D24D8}"/>
              </c:ext>
            </c:extLst>
          </c:dPt>
          <c:dPt>
            <c:idx val="4"/>
            <c:invertIfNegative val="0"/>
            <c:bubble3D val="0"/>
            <c:spPr>
              <a:solidFill>
                <a:srgbClr val="8CA0C3"/>
              </a:solidFill>
              <a:ln>
                <a:noFill/>
              </a:ln>
              <a:effectLst/>
            </c:spPr>
            <c:extLst>
              <c:ext xmlns:c16="http://schemas.microsoft.com/office/drawing/2014/chart" uri="{C3380CC4-5D6E-409C-BE32-E72D297353CC}">
                <c16:uniqueId val="{00000008-C770-46F0-9E09-C63B4897173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Summary!$B$44:$B$48</c:f>
              <c:strCache>
                <c:ptCount val="5"/>
                <c:pt idx="0">
                  <c:v>PV per HH C22</c:v>
                </c:pt>
                <c:pt idx="1">
                  <c:v>PV per HH C23 (forecast)</c:v>
                </c:pt>
                <c:pt idx="2">
                  <c:v>PV per HH combined</c:v>
                </c:pt>
                <c:pt idx="3">
                  <c:v>Costs per HH</c:v>
                </c:pt>
                <c:pt idx="4">
                  <c:v>NPV per HH</c:v>
                </c:pt>
              </c:strCache>
            </c:strRef>
          </c:cat>
          <c:val>
            <c:numRef>
              <c:f>Summary!$C$44:$C$48</c:f>
              <c:numCache>
                <c:formatCode>_-* #,##0\ [$€-407]_-;\-* #,##0\ [$€-407]_-;_-* "-"\ [$€-407]_-;_-@_-</c:formatCode>
                <c:ptCount val="5"/>
                <c:pt idx="0">
                  <c:v>517.03236909983195</c:v>
                </c:pt>
                <c:pt idx="1">
                  <c:v>403.76310777331884</c:v>
                </c:pt>
                <c:pt idx="2">
                  <c:v>441.83158990926262</c:v>
                </c:pt>
                <c:pt idx="3">
                  <c:v>111.2648220697326</c:v>
                </c:pt>
                <c:pt idx="4">
                  <c:v>330.56676783953003</c:v>
                </c:pt>
              </c:numCache>
            </c:numRef>
          </c:val>
          <c:extLst>
            <c:ext xmlns:c16="http://schemas.microsoft.com/office/drawing/2014/chart" uri="{C3380CC4-5D6E-409C-BE32-E72D297353CC}">
              <c16:uniqueId val="{00000008-05FC-4629-8C3E-6795B99D24D8}"/>
            </c:ext>
          </c:extLst>
        </c:ser>
        <c:dLbls>
          <c:showLegendKey val="0"/>
          <c:showVal val="0"/>
          <c:showCatName val="0"/>
          <c:showSerName val="0"/>
          <c:showPercent val="0"/>
          <c:showBubbleSize val="0"/>
        </c:dLbls>
        <c:gapWidth val="100"/>
        <c:axId val="1235029696"/>
        <c:axId val="1235044816"/>
      </c:barChart>
      <c:catAx>
        <c:axId val="123502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1235044816"/>
        <c:crosses val="autoZero"/>
        <c:auto val="1"/>
        <c:lblAlgn val="ctr"/>
        <c:lblOffset val="100"/>
        <c:noMultiLvlLbl val="0"/>
      </c:catAx>
      <c:valAx>
        <c:axId val="1235044816"/>
        <c:scaling>
          <c:orientation val="minMax"/>
        </c:scaling>
        <c:delete val="0"/>
        <c:axPos val="l"/>
        <c:majorGridlines>
          <c:spPr>
            <a:ln w="9525" cap="flat" cmpd="sng" algn="ctr">
              <a:solidFill>
                <a:schemeClr val="tx1">
                  <a:lumMod val="15000"/>
                  <a:lumOff val="85000"/>
                </a:schemeClr>
              </a:solidFill>
              <a:round/>
            </a:ln>
            <a:effectLst/>
          </c:spPr>
        </c:majorGridlines>
        <c:numFmt formatCode="_-* #,##0\ [$€-407]_-;\-* #,##0\ [$€-407]_-;_-* &quot;-&quot;\ [$€-407]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1235029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ero" panose="020F05060202030303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ExtraBold" panose="020F0804020203030304" pitchFamily="34" charset="0"/>
                <a:ea typeface="+mn-ea"/>
                <a:cs typeface="+mn-cs"/>
              </a:defRPr>
            </a:pPr>
            <a:r>
              <a:rPr lang="en-US" sz="1400" b="1" i="0" u="none" strike="noStrike" kern="1200" spc="0" baseline="0">
                <a:solidFill>
                  <a:sysClr val="windowText" lastClr="000000"/>
                </a:solidFill>
                <a:latin typeface="Pero" panose="020F0506020203030304" pitchFamily="34" charset="0"/>
              </a:rPr>
              <a:t>Share of Project Component in</a:t>
            </a:r>
          </a:p>
          <a:p>
            <a:pPr>
              <a:defRPr>
                <a:latin typeface="Pero ExtraBold" panose="020F0804020203030304" pitchFamily="34" charset="0"/>
              </a:defRPr>
            </a:pPr>
            <a:r>
              <a:rPr lang="en-US" sz="1400" b="1" i="0" u="none" strike="noStrike" kern="1200" spc="0" baseline="0">
                <a:solidFill>
                  <a:sysClr val="windowText" lastClr="000000"/>
                </a:solidFill>
                <a:latin typeface="Pero" panose="020F0506020203030304" pitchFamily="34" charset="0"/>
              </a:rPr>
              <a:t>Total Present Value per Household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ExtraBold" panose="020F0804020203030304" pitchFamily="34" charset="0"/>
              <a:ea typeface="+mn-ea"/>
              <a:cs typeface="+mn-cs"/>
            </a:defRPr>
          </a:pPr>
          <a:endParaRPr lang="en-US"/>
        </a:p>
      </c:txPr>
    </c:title>
    <c:autoTitleDeleted val="0"/>
    <c:plotArea>
      <c:layout/>
      <c:barChart>
        <c:barDir val="col"/>
        <c:grouping val="stacked"/>
        <c:varyColors val="0"/>
        <c:ser>
          <c:idx val="0"/>
          <c:order val="0"/>
          <c:tx>
            <c:strRef>
              <c:f>Summary!$E$43</c:f>
              <c:strCache>
                <c:ptCount val="1"/>
                <c:pt idx="0">
                  <c:v>GAPs besides Stumping</c:v>
                </c:pt>
              </c:strCache>
            </c:strRef>
          </c:tx>
          <c:spPr>
            <a:solidFill>
              <a:srgbClr val="CDD2B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Summary!$F$42:$G$42</c:f>
              <c:strCache>
                <c:ptCount val="2"/>
                <c:pt idx="0">
                  <c:v>C22</c:v>
                </c:pt>
                <c:pt idx="1">
                  <c:v>C23</c:v>
                </c:pt>
              </c:strCache>
            </c:strRef>
          </c:cat>
          <c:val>
            <c:numRef>
              <c:f>Summary!$F$43:$G$43</c:f>
              <c:numCache>
                <c:formatCode>#,##0\ [$€-407];\-#,##0\ [$€-407]</c:formatCode>
                <c:ptCount val="2"/>
                <c:pt idx="0">
                  <c:v>34.784909334964631</c:v>
                </c:pt>
                <c:pt idx="1">
                  <c:v>47.172269944101011</c:v>
                </c:pt>
              </c:numCache>
            </c:numRef>
          </c:val>
          <c:extLst>
            <c:ext xmlns:c16="http://schemas.microsoft.com/office/drawing/2014/chart" uri="{C3380CC4-5D6E-409C-BE32-E72D297353CC}">
              <c16:uniqueId val="{00000000-43A2-40B2-AA8C-53FF8167CFD3}"/>
            </c:ext>
          </c:extLst>
        </c:ser>
        <c:ser>
          <c:idx val="1"/>
          <c:order val="1"/>
          <c:tx>
            <c:strRef>
              <c:f>Summary!$E$44</c:f>
              <c:strCache>
                <c:ptCount val="1"/>
                <c:pt idx="0">
                  <c:v>Stumping</c:v>
                </c:pt>
              </c:strCache>
            </c:strRef>
          </c:tx>
          <c:spPr>
            <a:solidFill>
              <a:srgbClr val="8CA0C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Summary!$F$42:$G$42</c:f>
              <c:strCache>
                <c:ptCount val="2"/>
                <c:pt idx="0">
                  <c:v>C22</c:v>
                </c:pt>
                <c:pt idx="1">
                  <c:v>C23</c:v>
                </c:pt>
              </c:strCache>
            </c:strRef>
          </c:cat>
          <c:val>
            <c:numRef>
              <c:f>Summary!$F$44:$G$44</c:f>
              <c:numCache>
                <c:formatCode>#,##0\ [$€-407];\-#,##0\ [$€-407]</c:formatCode>
                <c:ptCount val="2"/>
                <c:pt idx="0">
                  <c:v>395.93982240713621</c:v>
                </c:pt>
                <c:pt idx="1">
                  <c:v>313.20261690197975</c:v>
                </c:pt>
              </c:numCache>
            </c:numRef>
          </c:val>
          <c:extLst>
            <c:ext xmlns:c16="http://schemas.microsoft.com/office/drawing/2014/chart" uri="{C3380CC4-5D6E-409C-BE32-E72D297353CC}">
              <c16:uniqueId val="{00000001-43A2-40B2-AA8C-53FF8167CFD3}"/>
            </c:ext>
          </c:extLst>
        </c:ser>
        <c:ser>
          <c:idx val="2"/>
          <c:order val="2"/>
          <c:tx>
            <c:strRef>
              <c:f>Summary!$E$45</c:f>
              <c:strCache>
                <c:ptCount val="1"/>
                <c:pt idx="0">
                  <c:v>Honey</c:v>
                </c:pt>
              </c:strCache>
            </c:strRef>
          </c:tx>
          <c:spPr>
            <a:solidFill>
              <a:srgbClr val="F0D7A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Summary!$F$42:$G$42</c:f>
              <c:strCache>
                <c:ptCount val="2"/>
                <c:pt idx="0">
                  <c:v>C22</c:v>
                </c:pt>
                <c:pt idx="1">
                  <c:v>C23</c:v>
                </c:pt>
              </c:strCache>
            </c:strRef>
          </c:cat>
          <c:val>
            <c:numRef>
              <c:f>Summary!$F$45:$G$45</c:f>
              <c:numCache>
                <c:formatCode>#,##0\ [$€-407];\-#,##0\ [$€-407]</c:formatCode>
                <c:ptCount val="2"/>
                <c:pt idx="0">
                  <c:v>15.560847113319067</c:v>
                </c:pt>
                <c:pt idx="1">
                  <c:v>11.669214554085045</c:v>
                </c:pt>
              </c:numCache>
            </c:numRef>
          </c:val>
          <c:extLst>
            <c:ext xmlns:c16="http://schemas.microsoft.com/office/drawing/2014/chart" uri="{C3380CC4-5D6E-409C-BE32-E72D297353CC}">
              <c16:uniqueId val="{00000002-43A2-40B2-AA8C-53FF8167CFD3}"/>
            </c:ext>
          </c:extLst>
        </c:ser>
        <c:ser>
          <c:idx val="3"/>
          <c:order val="3"/>
          <c:tx>
            <c:strRef>
              <c:f>Summary!$E$46</c:f>
              <c:strCache>
                <c:ptCount val="1"/>
                <c:pt idx="0">
                  <c:v> Coffee Washing Stations </c:v>
                </c:pt>
              </c:strCache>
            </c:strRef>
          </c:tx>
          <c:spPr>
            <a:solidFill>
              <a:srgbClr val="DCA59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Summary!$F$42:$G$42</c:f>
              <c:strCache>
                <c:ptCount val="2"/>
                <c:pt idx="0">
                  <c:v>C22</c:v>
                </c:pt>
                <c:pt idx="1">
                  <c:v>C23</c:v>
                </c:pt>
              </c:strCache>
            </c:strRef>
          </c:cat>
          <c:val>
            <c:numRef>
              <c:f>Summary!$F$46:$G$46</c:f>
              <c:numCache>
                <c:formatCode>#,##0\ [$€-407];\-#,##0\ [$€-407]</c:formatCode>
                <c:ptCount val="2"/>
                <c:pt idx="0">
                  <c:v>70.74679024441204</c:v>
                </c:pt>
                <c:pt idx="1">
                  <c:v>31.719006373153046</c:v>
                </c:pt>
              </c:numCache>
            </c:numRef>
          </c:val>
          <c:extLst>
            <c:ext xmlns:c16="http://schemas.microsoft.com/office/drawing/2014/chart" uri="{C3380CC4-5D6E-409C-BE32-E72D297353CC}">
              <c16:uniqueId val="{00000003-43A2-40B2-AA8C-53FF8167CFD3}"/>
            </c:ext>
          </c:extLst>
        </c:ser>
        <c:dLbls>
          <c:showLegendKey val="0"/>
          <c:showVal val="0"/>
          <c:showCatName val="0"/>
          <c:showSerName val="0"/>
          <c:showPercent val="0"/>
          <c:showBubbleSize val="0"/>
        </c:dLbls>
        <c:gapWidth val="150"/>
        <c:overlap val="100"/>
        <c:axId val="392140992"/>
        <c:axId val="392146752"/>
      </c:barChart>
      <c:catAx>
        <c:axId val="39214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392146752"/>
        <c:crosses val="autoZero"/>
        <c:auto val="1"/>
        <c:lblAlgn val="ctr"/>
        <c:lblOffset val="100"/>
        <c:noMultiLvlLbl val="0"/>
      </c:catAx>
      <c:valAx>
        <c:axId val="392146752"/>
        <c:scaling>
          <c:orientation val="minMax"/>
        </c:scaling>
        <c:delete val="0"/>
        <c:axPos val="l"/>
        <c:majorGridlines>
          <c:spPr>
            <a:ln w="9525" cap="flat" cmpd="sng" algn="ctr">
              <a:solidFill>
                <a:schemeClr val="tx1">
                  <a:lumMod val="15000"/>
                  <a:lumOff val="85000"/>
                </a:schemeClr>
              </a:solidFill>
              <a:round/>
            </a:ln>
            <a:effectLst/>
          </c:spPr>
        </c:majorGridlines>
        <c:numFmt formatCode="#,##0\ [$€-407];\-#,##0\ [$€-407]"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392140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Pero" panose="020F05060202030303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Pero ExtraBold" panose="020F0804020203030304" pitchFamily="34" charset="0"/>
                <a:ea typeface="+mn-ea"/>
                <a:cs typeface="+mn-cs"/>
              </a:defRPr>
            </a:pPr>
            <a:r>
              <a:rPr lang="en-US" sz="1200" b="1">
                <a:latin typeface="Pero ExtraBold" panose="020F0804020203030304" pitchFamily="34" charset="0"/>
              </a:rPr>
              <a:t>SROI for different discount rates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Pero ExtraBold" panose="020F0804020203030304" pitchFamily="34" charset="0"/>
              <a:ea typeface="+mn-ea"/>
              <a:cs typeface="+mn-cs"/>
            </a:defRPr>
          </a:pPr>
          <a:endParaRPr lang="en-US"/>
        </a:p>
      </c:txPr>
    </c:title>
    <c:autoTitleDeleted val="0"/>
    <c:plotArea>
      <c:layout/>
      <c:barChart>
        <c:barDir val="bar"/>
        <c:grouping val="clustered"/>
        <c:varyColors val="0"/>
        <c:ser>
          <c:idx val="1"/>
          <c:order val="1"/>
          <c:tx>
            <c:strRef>
              <c:f>'Sensitivity Analysis'!$B$3</c:f>
              <c:strCache>
                <c:ptCount val="1"/>
                <c:pt idx="0">
                  <c:v>SROI</c:v>
                </c:pt>
              </c:strCache>
            </c:strRef>
          </c:tx>
          <c:spPr>
            <a:solidFill>
              <a:srgbClr val="BED2E1"/>
            </a:solidFill>
            <a:ln>
              <a:noFill/>
            </a:ln>
            <a:effectLst/>
          </c:spPr>
          <c:invertIfNegative val="0"/>
          <c:dPt>
            <c:idx val="4"/>
            <c:invertIfNegative val="0"/>
            <c:bubble3D val="0"/>
            <c:spPr>
              <a:solidFill>
                <a:srgbClr val="8CA0C3"/>
              </a:solidFill>
              <a:ln>
                <a:noFill/>
              </a:ln>
              <a:effectLst/>
            </c:spPr>
            <c:extLst>
              <c:ext xmlns:c16="http://schemas.microsoft.com/office/drawing/2014/chart" uri="{C3380CC4-5D6E-409C-BE32-E72D297353CC}">
                <c16:uniqueId val="{00000011-17A1-4BD1-9704-2D8F5CB6502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'Sensitivity Analysis'!$A$4:$A$10</c:f>
              <c:strCache>
                <c:ptCount val="7"/>
                <c:pt idx="0">
                  <c:v>0%</c:v>
                </c:pt>
                <c:pt idx="1">
                  <c:v>2,5%</c:v>
                </c:pt>
                <c:pt idx="2">
                  <c:v>5%</c:v>
                </c:pt>
                <c:pt idx="3">
                  <c:v>7,5%</c:v>
                </c:pt>
                <c:pt idx="4">
                  <c:v>10%</c:v>
                </c:pt>
                <c:pt idx="5">
                  <c:v>12,5%</c:v>
                </c:pt>
                <c:pt idx="6">
                  <c:v>15%</c:v>
                </c:pt>
              </c:strCache>
            </c:strRef>
          </c:cat>
          <c:val>
            <c:numRef>
              <c:f>'Sensitivity Analysis'!$B$4:$B$10</c:f>
              <c:numCache>
                <c:formatCode>0.00</c:formatCode>
                <c:ptCount val="7"/>
                <c:pt idx="0">
                  <c:v>6.2</c:v>
                </c:pt>
                <c:pt idx="1">
                  <c:v>5.5</c:v>
                </c:pt>
                <c:pt idx="2">
                  <c:v>4.9000000000000004</c:v>
                </c:pt>
                <c:pt idx="3">
                  <c:v>4.3</c:v>
                </c:pt>
                <c:pt idx="4">
                  <c:v>4</c:v>
                </c:pt>
                <c:pt idx="5">
                  <c:v>3.5</c:v>
                </c:pt>
                <c:pt idx="6">
                  <c:v>3.1</c:v>
                </c:pt>
              </c:numCache>
            </c:numRef>
          </c:val>
          <c:extLst>
            <c:ext xmlns:c16="http://schemas.microsoft.com/office/drawing/2014/chart" uri="{C3380CC4-5D6E-409C-BE32-E72D297353CC}">
              <c16:uniqueId val="{00000010-17A1-4BD1-9704-2D8F5CB6502E}"/>
            </c:ext>
          </c:extLst>
        </c:ser>
        <c:dLbls>
          <c:showLegendKey val="0"/>
          <c:showVal val="0"/>
          <c:showCatName val="0"/>
          <c:showSerName val="0"/>
          <c:showPercent val="0"/>
          <c:showBubbleSize val="0"/>
        </c:dLbls>
        <c:gapWidth val="182"/>
        <c:axId val="496702096"/>
        <c:axId val="496699216"/>
        <c:extLst>
          <c:ext xmlns:c15="http://schemas.microsoft.com/office/drawing/2012/chart" uri="{02D57815-91ED-43cb-92C2-25804820EDAC}">
            <c15:filteredBarSeries>
              <c15:ser>
                <c:idx val="0"/>
                <c:order val="0"/>
                <c:tx>
                  <c:strRef>
                    <c:extLst>
                      <c:ext uri="{02D57815-91ED-43cb-92C2-25804820EDAC}">
                        <c15:formulaRef>
                          <c15:sqref>'Sensitivity Analysis'!$A$3</c15:sqref>
                        </c15:formulaRef>
                      </c:ext>
                    </c:extLst>
                    <c:strCache>
                      <c:ptCount val="1"/>
                      <c:pt idx="0">
                        <c:v>Discount</c:v>
                      </c:pt>
                    </c:strCache>
                  </c:strRef>
                </c:tx>
                <c:spPr>
                  <a:solidFill>
                    <a:schemeClr val="accent1"/>
                  </a:solidFill>
                  <a:ln>
                    <a:noFill/>
                  </a:ln>
                  <a:effectLst/>
                </c:spPr>
                <c:invertIfNegative val="0"/>
                <c:cat>
                  <c:strRef>
                    <c:extLst>
                      <c:ext uri="{02D57815-91ED-43cb-92C2-25804820EDAC}">
                        <c15:formulaRef>
                          <c15:sqref>'Sensitivity Analysis'!$A$4:$A$10</c15:sqref>
                        </c15:formulaRef>
                      </c:ext>
                    </c:extLst>
                    <c:strCache>
                      <c:ptCount val="7"/>
                      <c:pt idx="0">
                        <c:v>0%</c:v>
                      </c:pt>
                      <c:pt idx="1">
                        <c:v>2,5%</c:v>
                      </c:pt>
                      <c:pt idx="2">
                        <c:v>5%</c:v>
                      </c:pt>
                      <c:pt idx="3">
                        <c:v>7,5%</c:v>
                      </c:pt>
                      <c:pt idx="4">
                        <c:v>10%</c:v>
                      </c:pt>
                      <c:pt idx="5">
                        <c:v>12,5%</c:v>
                      </c:pt>
                      <c:pt idx="6">
                        <c:v>15%</c:v>
                      </c:pt>
                    </c:strCache>
                  </c:strRef>
                </c:cat>
                <c:val>
                  <c:numRef>
                    <c:extLst>
                      <c:ext uri="{02D57815-91ED-43cb-92C2-25804820EDAC}">
                        <c15:formulaRef>
                          <c15:sqref>'Sensitivity Analysis'!$A$4:$A$10</c15:sqref>
                        </c15:formulaRef>
                      </c:ext>
                    </c:extLst>
                    <c:numCache>
                      <c:formatCode>@</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6F3-42A3-B54E-0FDD8F02C5C9}"/>
                  </c:ext>
                </c:extLst>
              </c15:ser>
            </c15:filteredBarSeries>
          </c:ext>
        </c:extLst>
      </c:barChart>
      <c:catAx>
        <c:axId val="4967020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ero" panose="020F0506020203030304" pitchFamily="34" charset="0"/>
                    <a:ea typeface="+mn-ea"/>
                    <a:cs typeface="+mn-cs"/>
                  </a:defRPr>
                </a:pPr>
                <a:r>
                  <a:rPr lang="en-US"/>
                  <a:t>Discount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496699216"/>
        <c:crosses val="autoZero"/>
        <c:auto val="1"/>
        <c:lblAlgn val="ctr"/>
        <c:lblOffset val="100"/>
        <c:noMultiLvlLbl val="0"/>
      </c:catAx>
      <c:valAx>
        <c:axId val="496699216"/>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ero" panose="020F0506020203030304" pitchFamily="34" charset="0"/>
                    <a:ea typeface="+mn-ea"/>
                    <a:cs typeface="+mn-cs"/>
                  </a:defRPr>
                </a:pPr>
                <a:r>
                  <a:rPr lang="en-US"/>
                  <a:t>SROI value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title>
        <c:numFmt formatCode="0.00" sourceLinked="1"/>
        <c:majorTickMark val="none"/>
        <c:minorTickMark val="none"/>
        <c:tickLblPos val="nextTo"/>
        <c:crossAx val="496702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ero" panose="020F05060202030303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226000</xdr:colOff>
      <xdr:row>58</xdr:row>
      <xdr:rowOff>124401</xdr:rowOff>
    </xdr:from>
    <xdr:to>
      <xdr:col>10</xdr:col>
      <xdr:colOff>515470</xdr:colOff>
      <xdr:row>79</xdr:row>
      <xdr:rowOff>11205</xdr:rowOff>
    </xdr:to>
    <xdr:graphicFrame macro="">
      <xdr:nvGraphicFramePr>
        <xdr:cNvPr id="5" name="Chart 5">
          <a:extLst>
            <a:ext uri="{FF2B5EF4-FFF2-40B4-BE49-F238E27FC236}">
              <a16:creationId xmlns:a16="http://schemas.microsoft.com/office/drawing/2014/main" id="{CE578721-C3F1-4786-B0C7-65A7CFC4F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71428</xdr:colOff>
      <xdr:row>4</xdr:row>
      <xdr:rowOff>112060</xdr:rowOff>
    </xdr:from>
    <xdr:to>
      <xdr:col>11</xdr:col>
      <xdr:colOff>214780</xdr:colOff>
      <xdr:row>16</xdr:row>
      <xdr:rowOff>1</xdr:rowOff>
    </xdr:to>
    <xdr:sp macro="" textlink="">
      <xdr:nvSpPr>
        <xdr:cNvPr id="19" name="TextBox 2">
          <a:extLst>
            <a:ext uri="{FF2B5EF4-FFF2-40B4-BE49-F238E27FC236}">
              <a16:creationId xmlns:a16="http://schemas.microsoft.com/office/drawing/2014/main" id="{47FEFEDA-16AB-42B4-AE53-F0D40DD9ED1F}"/>
            </a:ext>
          </a:extLst>
        </xdr:cNvPr>
        <xdr:cNvSpPr txBox="1"/>
      </xdr:nvSpPr>
      <xdr:spPr>
        <a:xfrm>
          <a:off x="7626060" y="1101913"/>
          <a:ext cx="4709749" cy="2465294"/>
        </a:xfrm>
        <a:prstGeom prst="rect">
          <a:avLst/>
        </a:prstGeom>
        <a:solidFill>
          <a:sysClr val="window" lastClr="FFFFFF"/>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i="0" u="none" strike="noStrike" baseline="0">
              <a:solidFill>
                <a:schemeClr val="dk1"/>
              </a:solidFill>
              <a:latin typeface="Pero" panose="020F0506020203030304" pitchFamily="34" charset="0"/>
              <a:ea typeface="+mn-ea"/>
              <a:cs typeface="+mn-cs"/>
            </a:rPr>
            <a:t>HWG Summary/Interpretation: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a:solidFill>
                <a:schemeClr val="dk1"/>
              </a:solidFill>
              <a:effectLst/>
              <a:latin typeface="Pero" panose="020F0506020203030304" pitchFamily="34" charset="0"/>
              <a:ea typeface="+mn-ea"/>
              <a:cs typeface="+mn-cs"/>
            </a:rPr>
            <a:t>The model </a:t>
          </a:r>
          <a:r>
            <a:rPr lang="en-US" sz="1000" b="1">
              <a:solidFill>
                <a:schemeClr val="dk1"/>
              </a:solidFill>
              <a:effectLst/>
              <a:latin typeface="Pero" panose="020F0506020203030304" pitchFamily="34" charset="0"/>
              <a:ea typeface="+mn-ea"/>
              <a:cs typeface="+mn-cs"/>
            </a:rPr>
            <a:t>compares the estimated total benefits of ca.</a:t>
          </a:r>
          <a:r>
            <a:rPr lang="en-US" sz="1000" b="1" baseline="0">
              <a:solidFill>
                <a:schemeClr val="dk1"/>
              </a:solidFill>
              <a:effectLst/>
              <a:latin typeface="Pero" panose="020F0506020203030304" pitchFamily="34" charset="0"/>
              <a:ea typeface="+mn-ea"/>
              <a:cs typeface="+mn-cs"/>
            </a:rPr>
            <a:t> 10,8 Mio</a:t>
          </a:r>
          <a:r>
            <a:rPr lang="en-US" sz="1000" b="1">
              <a:solidFill>
                <a:schemeClr val="dk1"/>
              </a:solidFill>
              <a:effectLst/>
              <a:latin typeface="Pero" panose="020F0506020203030304" pitchFamily="34" charset="0"/>
              <a:ea typeface="+mn-ea"/>
              <a:cs typeface="+mn-cs"/>
            </a:rPr>
            <a:t> € with the implementation costs of ca. 2,8 Mio</a:t>
          </a:r>
          <a:r>
            <a:rPr lang="en-US" sz="1000" b="1" baseline="0">
              <a:solidFill>
                <a:schemeClr val="dk1"/>
              </a:solidFill>
              <a:effectLst/>
              <a:latin typeface="Pero" panose="020F0506020203030304" pitchFamily="34" charset="0"/>
              <a:ea typeface="+mn-ea"/>
              <a:cs typeface="+mn-cs"/>
            </a:rPr>
            <a:t> € </a:t>
          </a:r>
          <a:r>
            <a:rPr lang="en-US" sz="1000">
              <a:solidFill>
                <a:schemeClr val="dk1"/>
              </a:solidFill>
              <a:effectLst/>
              <a:latin typeface="Pero" panose="020F0506020203030304" pitchFamily="34" charset="0"/>
              <a:ea typeface="+mn-ea"/>
              <a:cs typeface="+mn-cs"/>
            </a:rPr>
            <a:t>(</a:t>
          </a:r>
          <a:r>
            <a:rPr lang="en-US" sz="1000" b="0" i="0" baseline="0">
              <a:solidFill>
                <a:schemeClr val="dk1"/>
              </a:solidFill>
              <a:effectLst/>
              <a:latin typeface="Pero" panose="020F0506020203030304" pitchFamily="34" charset="0"/>
              <a:ea typeface="+mn-ea"/>
              <a:cs typeface="+mn-cs"/>
            </a:rPr>
            <a:t>values are discounted and delated to real 2021 €</a:t>
          </a:r>
          <a:r>
            <a:rPr lang="en-US" sz="1000">
              <a:solidFill>
                <a:schemeClr val="dk1"/>
              </a:solidFill>
              <a:effectLst/>
              <a:latin typeface="Pero" panose="020F0506020203030304" pitchFamily="34" charset="0"/>
              <a:ea typeface="+mn-ea"/>
              <a:cs typeface="+mn-cs"/>
            </a:rPr>
            <a:t>). </a:t>
          </a:r>
          <a:endParaRPr lang="en-US" sz="1000" b="0" i="0" u="none" strike="noStrike" baseline="0">
            <a:solidFill>
              <a:schemeClr val="dk1"/>
            </a:solidFill>
            <a:latin typeface="Pero" panose="020F0506020203030304" pitchFamily="34" charset="0"/>
            <a:ea typeface="+mn-ea"/>
            <a:cs typeface="+mn-cs"/>
          </a:endParaRP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The preliminary </a:t>
          </a:r>
          <a:r>
            <a:rPr lang="en-US" sz="1000" b="1" i="0" u="none" strike="noStrike" baseline="0">
              <a:solidFill>
                <a:schemeClr val="dk1"/>
              </a:solidFill>
              <a:latin typeface="Pero" panose="020F0506020203030304" pitchFamily="34" charset="0"/>
              <a:ea typeface="+mn-ea"/>
              <a:cs typeface="+mn-cs"/>
            </a:rPr>
            <a:t>SROI result of 3,9 </a:t>
          </a:r>
          <a:r>
            <a:rPr lang="en-US" sz="1000" b="0" i="0" u="none" strike="noStrike" baseline="0">
              <a:solidFill>
                <a:schemeClr val="dk1"/>
              </a:solidFill>
              <a:latin typeface="Pero" panose="020F0506020203030304" pitchFamily="34" charset="0"/>
              <a:ea typeface="+mn-ea"/>
              <a:cs typeface="+mn-cs"/>
            </a:rPr>
            <a:t>shows that under the current assumptions, income effects achieved by the project will significantly outperform the project investment. </a:t>
          </a: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In our model, </a:t>
          </a:r>
          <a:r>
            <a:rPr lang="en-US" sz="1000" b="1" i="0" u="none" strike="noStrike" baseline="0">
              <a:solidFill>
                <a:schemeClr val="dk1"/>
              </a:solidFill>
              <a:latin typeface="Pero" panose="020F0506020203030304" pitchFamily="34" charset="0"/>
              <a:ea typeface="+mn-ea"/>
              <a:cs typeface="+mn-cs"/>
            </a:rPr>
            <a:t>the main income driver is stumping as a means of rejuvenation coffee trees</a:t>
          </a:r>
          <a:r>
            <a:rPr lang="en-US" sz="1000" b="0" i="0" u="none" strike="noStrike" baseline="0">
              <a:solidFill>
                <a:schemeClr val="dk1"/>
              </a:solidFill>
              <a:latin typeface="Pero" panose="020F0506020203030304" pitchFamily="34" charset="0"/>
              <a:ea typeface="+mn-ea"/>
              <a:cs typeface="+mn-cs"/>
            </a:rPr>
            <a:t>. Yield effects of stumping are estimated based on TNS's monitoring data and might be over- or underestimating the actual impact.</a:t>
          </a: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Further, we do not know the yield effect of rather low adoption of other </a:t>
          </a:r>
          <a:r>
            <a:rPr lang="en-US" sz="1000" b="0" i="0" baseline="0">
              <a:solidFill>
                <a:schemeClr val="dk1"/>
              </a:solidFill>
              <a:effectLst/>
              <a:latin typeface="Pero" panose="020F0506020203030304" pitchFamily="34" charset="0"/>
              <a:ea typeface="+mn-ea"/>
              <a:cs typeface="+mn-cs"/>
            </a:rPr>
            <a:t>Good Agricultural Practices  </a:t>
          </a:r>
          <a:r>
            <a:rPr lang="en-US" sz="1000" b="0" i="0" u="none" strike="noStrike" baseline="0">
              <a:solidFill>
                <a:schemeClr val="dk1"/>
              </a:solidFill>
              <a:latin typeface="Pero" panose="020F0506020203030304" pitchFamily="34" charset="0"/>
              <a:ea typeface="+mn-ea"/>
              <a:cs typeface="+mn-cs"/>
            </a:rPr>
            <a:t>GAPs).</a:t>
          </a: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Accordingly, </a:t>
          </a:r>
          <a:r>
            <a:rPr lang="en-US" sz="1000" b="1" i="0" u="none" strike="noStrike" baseline="0">
              <a:solidFill>
                <a:schemeClr val="dk1"/>
              </a:solidFill>
              <a:latin typeface="Pero" panose="020F0506020203030304" pitchFamily="34" charset="0"/>
              <a:ea typeface="+mn-ea"/>
              <a:cs typeface="+mn-cs"/>
            </a:rPr>
            <a:t>we asses the level of certainty of the model as low.</a:t>
          </a:r>
        </a:p>
      </xdr:txBody>
    </xdr:sp>
    <xdr:clientData/>
  </xdr:twoCellAnchor>
  <xdr:twoCellAnchor>
    <xdr:from>
      <xdr:col>0</xdr:col>
      <xdr:colOff>225137</xdr:colOff>
      <xdr:row>40</xdr:row>
      <xdr:rowOff>69274</xdr:rowOff>
    </xdr:from>
    <xdr:to>
      <xdr:col>3</xdr:col>
      <xdr:colOff>157236</xdr:colOff>
      <xdr:row>58</xdr:row>
      <xdr:rowOff>0</xdr:rowOff>
    </xdr:to>
    <xdr:graphicFrame macro="">
      <xdr:nvGraphicFramePr>
        <xdr:cNvPr id="11" name="Chart 10">
          <a:extLst>
            <a:ext uri="{FF2B5EF4-FFF2-40B4-BE49-F238E27FC236}">
              <a16:creationId xmlns:a16="http://schemas.microsoft.com/office/drawing/2014/main" id="{042D5ECF-0AED-4DDB-9734-382D29CBA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468921</xdr:colOff>
      <xdr:row>40</xdr:row>
      <xdr:rowOff>42195</xdr:rowOff>
    </xdr:from>
    <xdr:to>
      <xdr:col>10</xdr:col>
      <xdr:colOff>499394</xdr:colOff>
      <xdr:row>58</xdr:row>
      <xdr:rowOff>18676</xdr:rowOff>
    </xdr:to>
    <xdr:graphicFrame macro="">
      <xdr:nvGraphicFramePr>
        <xdr:cNvPr id="12" name="Chart 11">
          <a:extLst>
            <a:ext uri="{FF2B5EF4-FFF2-40B4-BE49-F238E27FC236}">
              <a16:creationId xmlns:a16="http://schemas.microsoft.com/office/drawing/2014/main" id="{4B659872-4F9F-4108-AD2D-286FB4C1E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170596</xdr:colOff>
      <xdr:row>18</xdr:row>
      <xdr:rowOff>76198</xdr:rowOff>
    </xdr:from>
    <xdr:to>
      <xdr:col>11</xdr:col>
      <xdr:colOff>180074</xdr:colOff>
      <xdr:row>26</xdr:row>
      <xdr:rowOff>130735</xdr:rowOff>
    </xdr:to>
    <xdr:sp macro="" textlink="">
      <xdr:nvSpPr>
        <xdr:cNvPr id="21" name="TextBox 2">
          <a:extLst>
            <a:ext uri="{FF2B5EF4-FFF2-40B4-BE49-F238E27FC236}">
              <a16:creationId xmlns:a16="http://schemas.microsoft.com/office/drawing/2014/main" id="{77D5BBC5-A8DB-439D-AAEF-BE18919125C8}"/>
            </a:ext>
          </a:extLst>
        </xdr:cNvPr>
        <xdr:cNvSpPr txBox="1"/>
      </xdr:nvSpPr>
      <xdr:spPr>
        <a:xfrm>
          <a:off x="6595302" y="3867522"/>
          <a:ext cx="5705801" cy="173541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*Level of certainty:  Low</a:t>
          </a:r>
          <a:endParaRPr lang="en-US" sz="1050" b="0" i="0" u="none" strike="noStrike" baseline="0">
            <a:solidFill>
              <a:schemeClr val="dk1"/>
            </a:solidFill>
            <a:latin typeface="Pero" panose="020F0506020203030304" pitchFamily="34" charset="0"/>
            <a:ea typeface="+mn-ea"/>
            <a:cs typeface="+mn-cs"/>
          </a:endParaRPr>
        </a:p>
        <a:p>
          <a:r>
            <a:rPr lang="en-US" sz="1050" b="0" i="0" u="none" strike="noStrike" baseline="0">
              <a:solidFill>
                <a:schemeClr val="dk1"/>
              </a:solidFill>
              <a:latin typeface="Pero" panose="020F0506020203030304" pitchFamily="34" charset="0"/>
              <a:ea typeface="+mn-ea"/>
              <a:cs typeface="+mn-cs"/>
            </a:rPr>
            <a:t>Data quality: Modeled income entirely from intermediate outcomes, expert opinion or weak evaluation design (observational, no counterfactual).</a:t>
          </a:r>
        </a:p>
        <a:p>
          <a:r>
            <a:rPr lang="en-US" sz="1050" b="0" i="0" u="none" strike="noStrike" baseline="0">
              <a:solidFill>
                <a:schemeClr val="dk1"/>
              </a:solidFill>
              <a:latin typeface="Pero" panose="020F0506020203030304" pitchFamily="34" charset="0"/>
              <a:ea typeface="+mn-ea"/>
              <a:cs typeface="+mn-cs"/>
            </a:rPr>
            <a:t>Precision: Conidence interval (CI) width &gt; 60% of point estimate.</a:t>
          </a:r>
        </a:p>
        <a:p>
          <a:r>
            <a:rPr lang="en-US" sz="1050" b="0" i="0" u="none" strike="noStrike" baseline="0">
              <a:solidFill>
                <a:schemeClr val="dk1"/>
              </a:solidFill>
              <a:latin typeface="Pero" panose="020F0506020203030304" pitchFamily="34" charset="0"/>
              <a:ea typeface="+mn-ea"/>
              <a:cs typeface="+mn-cs"/>
            </a:rPr>
            <a:t>Assumptions: Multiple key assumptions with high uncertainty (best guess).</a:t>
          </a:r>
        </a:p>
        <a:p>
          <a:endParaRPr lang="en-US" sz="1050" b="0" i="0" u="none" strike="noStrike" baseline="0">
            <a:solidFill>
              <a:schemeClr val="dk1"/>
            </a:solidFill>
            <a:latin typeface="Pero" panose="020F0506020203030304" pitchFamily="34" charset="0"/>
            <a:ea typeface="+mn-ea"/>
            <a:cs typeface="+mn-cs"/>
          </a:endParaRPr>
        </a:p>
        <a:p>
          <a:r>
            <a:rPr lang="en-US" sz="1050" b="1" i="0" u="none" strike="noStrike" baseline="0">
              <a:solidFill>
                <a:srgbClr val="FF0000"/>
              </a:solidFill>
              <a:latin typeface="Pero" panose="020F0506020203030304" pitchFamily="34" charset="0"/>
              <a:ea typeface="+mn-ea"/>
              <a:cs typeface="+mn-cs"/>
            </a:rPr>
            <a:t>ATTENTION</a:t>
          </a:r>
          <a:r>
            <a:rPr lang="en-US" sz="1050" b="0" i="0" u="none" strike="noStrike" baseline="0">
              <a:solidFill>
                <a:schemeClr val="dk1"/>
              </a:solidFill>
              <a:latin typeface="Pero" panose="020F0506020203030304" pitchFamily="34" charset="0"/>
              <a:ea typeface="+mn-ea"/>
              <a:cs typeface="+mn-cs"/>
            </a:rPr>
            <a:t>: Evaluation results only available for Cohort 2022; For Cohort 2023 we assume same impact as for C2022 in the semi-forecast model. Result for C23 share of HH stumpingin 2024 are taken from TNS stumping verification. Final results for Cohort 2023 will be available in Q2 2026</a:t>
          </a:r>
        </a:p>
      </xdr:txBody>
    </xdr:sp>
    <xdr:clientData/>
  </xdr:twoCellAnchor>
  <xdr:twoCellAnchor>
    <xdr:from>
      <xdr:col>3</xdr:col>
      <xdr:colOff>161180</xdr:colOff>
      <xdr:row>26</xdr:row>
      <xdr:rowOff>177426</xdr:rowOff>
    </xdr:from>
    <xdr:to>
      <xdr:col>11</xdr:col>
      <xdr:colOff>186765</xdr:colOff>
      <xdr:row>32</xdr:row>
      <xdr:rowOff>9338</xdr:rowOff>
    </xdr:to>
    <xdr:sp macro="" textlink="">
      <xdr:nvSpPr>
        <xdr:cNvPr id="17" name="TextBox 2">
          <a:extLst>
            <a:ext uri="{FF2B5EF4-FFF2-40B4-BE49-F238E27FC236}">
              <a16:creationId xmlns:a16="http://schemas.microsoft.com/office/drawing/2014/main" id="{B0BB918C-AF6A-4CAF-BD20-0D46B29B0812}"/>
            </a:ext>
          </a:extLst>
        </xdr:cNvPr>
        <xdr:cNvSpPr txBox="1"/>
      </xdr:nvSpPr>
      <xdr:spPr>
        <a:xfrm>
          <a:off x="6585886" y="5649632"/>
          <a:ext cx="5721908" cy="952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*Methodological rigor: Good</a:t>
          </a:r>
          <a:r>
            <a:rPr lang="en-US" sz="1050" b="0" i="0" u="none" strike="noStrike" baseline="0">
              <a:solidFill>
                <a:schemeClr val="dk1"/>
              </a:solidFill>
              <a:latin typeface="Pero" panose="020F0506020203030304" pitchFamily="34" charset="0"/>
              <a:ea typeface="+mn-ea"/>
              <a:cs typeface="+mn-cs"/>
            </a:rPr>
            <a:t>	</a:t>
          </a:r>
        </a:p>
        <a:p>
          <a:r>
            <a:rPr lang="en-US" sz="1050" b="0" i="0" u="none" strike="noStrike" baseline="0">
              <a:solidFill>
                <a:schemeClr val="dk1"/>
              </a:solidFill>
              <a:latin typeface="Pero" panose="020F0506020203030304" pitchFamily="34" charset="0"/>
              <a:ea typeface="+mn-ea"/>
              <a:cs typeface="+mn-cs"/>
            </a:rPr>
            <a:t>Design is generally appropriate, with clear and justified sampling and analytical methods, though some limitations remain	</a:t>
          </a:r>
        </a:p>
        <a:p>
          <a:r>
            <a:rPr lang="en-US" sz="1050" b="0" i="0" u="none" strike="noStrike" baseline="0">
              <a:solidFill>
                <a:schemeClr val="dk1"/>
              </a:solidFill>
              <a:latin typeface="Pero" panose="020F0506020203030304" pitchFamily="34" charset="0"/>
              <a:ea typeface="+mn-ea"/>
              <a:cs typeface="+mn-cs"/>
            </a:rPr>
            <a:t>Assumptions: Some substantiated assumptions (with some form of support based on available evidence or logical reasoning).</a:t>
          </a:r>
        </a:p>
      </xdr:txBody>
    </xdr:sp>
    <xdr:clientData/>
  </xdr:twoCellAnchor>
  <xdr:twoCellAnchor editAs="oneCell">
    <xdr:from>
      <xdr:col>4</xdr:col>
      <xdr:colOff>247650</xdr:colOff>
      <xdr:row>0</xdr:row>
      <xdr:rowOff>47625</xdr:rowOff>
    </xdr:from>
    <xdr:to>
      <xdr:col>6</xdr:col>
      <xdr:colOff>272065</xdr:colOff>
      <xdr:row>2</xdr:row>
      <xdr:rowOff>161925</xdr:rowOff>
    </xdr:to>
    <xdr:pic>
      <xdr:nvPicPr>
        <xdr:cNvPr id="6" name="Grafik 5">
          <a:extLst>
            <a:ext uri="{FF2B5EF4-FFF2-40B4-BE49-F238E27FC236}">
              <a16:creationId xmlns:a16="http://schemas.microsoft.com/office/drawing/2014/main" id="{F520A505-FEFC-22F9-B86D-4AD84D20A817}"/>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458075" y="47625"/>
          <a:ext cx="1300765" cy="685800"/>
        </a:xfrm>
        <a:prstGeom prst="rect">
          <a:avLst/>
        </a:prstGeom>
      </xdr:spPr>
    </xdr:pic>
    <xdr:clientData/>
  </xdr:twoCellAnchor>
  <xdr:twoCellAnchor editAs="oneCell">
    <xdr:from>
      <xdr:col>9</xdr:col>
      <xdr:colOff>131667</xdr:colOff>
      <xdr:row>0</xdr:row>
      <xdr:rowOff>153169</xdr:rowOff>
    </xdr:from>
    <xdr:to>
      <xdr:col>10</xdr:col>
      <xdr:colOff>496813</xdr:colOff>
      <xdr:row>2</xdr:row>
      <xdr:rowOff>114247</xdr:rowOff>
    </xdr:to>
    <xdr:pic>
      <xdr:nvPicPr>
        <xdr:cNvPr id="7" name="Grafik 6">
          <a:extLst>
            <a:ext uri="{FF2B5EF4-FFF2-40B4-BE49-F238E27FC236}">
              <a16:creationId xmlns:a16="http://schemas.microsoft.com/office/drawing/2014/main" id="{2F132948-D946-0C30-7CDA-2219EC1EA91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447242" y="153169"/>
          <a:ext cx="974746" cy="532578"/>
        </a:xfrm>
        <a:prstGeom prst="rect">
          <a:avLst/>
        </a:prstGeom>
      </xdr:spPr>
    </xdr:pic>
    <xdr:clientData/>
  </xdr:twoCellAnchor>
  <xdr:twoCellAnchor editAs="oneCell">
    <xdr:from>
      <xdr:col>7</xdr:col>
      <xdr:colOff>285750</xdr:colOff>
      <xdr:row>0</xdr:row>
      <xdr:rowOff>128184</xdr:rowOff>
    </xdr:from>
    <xdr:to>
      <xdr:col>8</xdr:col>
      <xdr:colOff>476250</xdr:colOff>
      <xdr:row>2</xdr:row>
      <xdr:rowOff>139808</xdr:rowOff>
    </xdr:to>
    <xdr:pic>
      <xdr:nvPicPr>
        <xdr:cNvPr id="9" name="Grafik 8">
          <a:extLst>
            <a:ext uri="{FF2B5EF4-FFF2-40B4-BE49-F238E27FC236}">
              <a16:creationId xmlns:a16="http://schemas.microsoft.com/office/drawing/2014/main" id="{0E2F1667-5FAD-2928-F2E8-071DA1370A7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9382125" y="128184"/>
          <a:ext cx="800100" cy="583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312964</xdr:colOff>
      <xdr:row>2</xdr:row>
      <xdr:rowOff>202660</xdr:rowOff>
    </xdr:from>
    <xdr:to>
      <xdr:col>15</xdr:col>
      <xdr:colOff>758371</xdr:colOff>
      <xdr:row>5</xdr:row>
      <xdr:rowOff>167736</xdr:rowOff>
    </xdr:to>
    <xdr:sp macro="" textlink="">
      <xdr:nvSpPr>
        <xdr:cNvPr id="31" name="TextBox 1">
          <a:extLst>
            <a:ext uri="{FF2B5EF4-FFF2-40B4-BE49-F238E27FC236}">
              <a16:creationId xmlns:a16="http://schemas.microsoft.com/office/drawing/2014/main" id="{ED074E1F-F76A-4537-A375-8BD3A5B7CCC2}"/>
            </a:ext>
          </a:extLst>
        </xdr:cNvPr>
        <xdr:cNvSpPr txBox="1"/>
      </xdr:nvSpPr>
      <xdr:spPr>
        <a:xfrm>
          <a:off x="4614190" y="669924"/>
          <a:ext cx="10150124" cy="87564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baseline="0">
              <a:solidFill>
                <a:schemeClr val="dk1"/>
              </a:solidFill>
              <a:latin typeface="Pero" panose="020F0506020203030304" pitchFamily="34" charset="0"/>
              <a:ea typeface="+mn-ea"/>
              <a:cs typeface="+mn-cs"/>
            </a:rPr>
            <a:t>Additional profit generated: </a:t>
          </a:r>
          <a:r>
            <a:rPr lang="en-US" sz="1200" b="0" i="0" u="none" strike="noStrike" baseline="0">
              <a:solidFill>
                <a:schemeClr val="dk1"/>
              </a:solidFill>
              <a:latin typeface="Pero" panose="020F0506020203030304" pitchFamily="34" charset="0"/>
              <a:ea typeface="+mn-ea"/>
              <a:cs typeface="+mn-cs"/>
            </a:rPr>
            <a:t>The evaluation does not provide data on total household income. Instead, it focuses on the intermediate outcome of adoption status of regenerative agricultural practices and models income effects. We assume yield effects of practice adoption to calcuate coffee revenues, costs associated with practice adoption to calculate coffee profits and that changes in practices adoption do not affect other income-gernerating activities of the household, so that a change in coffee profits translates directly into an equal change in total household income.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272173</xdr:colOff>
      <xdr:row>1</xdr:row>
      <xdr:rowOff>131783</xdr:rowOff>
    </xdr:from>
    <xdr:to>
      <xdr:col>8</xdr:col>
      <xdr:colOff>0</xdr:colOff>
      <xdr:row>13</xdr:row>
      <xdr:rowOff>151662</xdr:rowOff>
    </xdr:to>
    <xdr:graphicFrame macro="">
      <xdr:nvGraphicFramePr>
        <xdr:cNvPr id="3" name="Chart 2">
          <a:extLst>
            <a:ext uri="{FF2B5EF4-FFF2-40B4-BE49-F238E27FC236}">
              <a16:creationId xmlns:a16="http://schemas.microsoft.com/office/drawing/2014/main" id="{04FEEC28-7DB1-472A-A6CD-F3D2893F1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6350</xdr:rowOff>
    </xdr:from>
    <xdr:to>
      <xdr:col>15</xdr:col>
      <xdr:colOff>1</xdr:colOff>
      <xdr:row>11</xdr:row>
      <xdr:rowOff>104775</xdr:rowOff>
    </xdr:to>
    <xdr:sp macro="" textlink="">
      <xdr:nvSpPr>
        <xdr:cNvPr id="2" name="TextBox 2">
          <a:extLst>
            <a:ext uri="{FF2B5EF4-FFF2-40B4-BE49-F238E27FC236}">
              <a16:creationId xmlns:a16="http://schemas.microsoft.com/office/drawing/2014/main" id="{0D815132-2EBB-4A64-B313-BD6F487FA70E}"/>
            </a:ext>
          </a:extLst>
        </xdr:cNvPr>
        <xdr:cNvSpPr txBox="1"/>
      </xdr:nvSpPr>
      <xdr:spPr>
        <a:xfrm>
          <a:off x="257175" y="368300"/>
          <a:ext cx="8886826" cy="17272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*Level of certainty: </a:t>
          </a:r>
          <a:endParaRPr lang="en-US" sz="1050" b="0" i="0" u="none" strike="noStrike" baseline="0">
            <a:solidFill>
              <a:schemeClr val="dk1"/>
            </a:solidFill>
            <a:latin typeface="Pero" panose="020F0506020203030304" pitchFamily="34" charset="0"/>
            <a:ea typeface="+mn-ea"/>
            <a:cs typeface="+mn-cs"/>
          </a:endParaRPr>
        </a:p>
        <a:p>
          <a:r>
            <a:rPr lang="en-US" sz="1050" b="0" i="0" u="none" strike="noStrike" baseline="0">
              <a:solidFill>
                <a:schemeClr val="dk1"/>
              </a:solidFill>
              <a:latin typeface="Pero" panose="020F0506020203030304" pitchFamily="34" charset="0"/>
              <a:ea typeface="+mn-ea"/>
              <a:cs typeface="+mn-cs"/>
            </a:rPr>
            <a:t>Low	Data quality: Modeled income entirely from intermediate outcomes, expert opinion or weak evaluation design (observational, no 	counterfactual).</a:t>
          </a:r>
        </a:p>
        <a:p>
          <a:r>
            <a:rPr lang="en-US" sz="1050" b="0" i="0" u="none" strike="noStrike" baseline="0">
              <a:solidFill>
                <a:schemeClr val="dk1"/>
              </a:solidFill>
              <a:latin typeface="Pero" panose="020F0506020203030304" pitchFamily="34" charset="0"/>
              <a:ea typeface="+mn-ea"/>
              <a:cs typeface="+mn-cs"/>
            </a:rPr>
            <a:t>	Precision: Conidence interval (CI) width &gt; 60% of point estimate.</a:t>
          </a:r>
        </a:p>
        <a:p>
          <a:r>
            <a:rPr lang="en-US" sz="1050" b="0" i="0" u="none" strike="noStrike" baseline="0">
              <a:solidFill>
                <a:schemeClr val="dk1"/>
              </a:solidFill>
              <a:latin typeface="Pero" panose="020F0506020203030304" pitchFamily="34" charset="0"/>
              <a:ea typeface="+mn-ea"/>
              <a:cs typeface="+mn-cs"/>
            </a:rPr>
            <a:t>	Assumptions: Multiple key assumptions with high uncertainty (best guess).</a:t>
          </a:r>
        </a:p>
        <a:p>
          <a:r>
            <a:rPr lang="en-US" sz="1050" b="0" i="0" u="none" strike="noStrike" baseline="0">
              <a:solidFill>
                <a:schemeClr val="dk1"/>
              </a:solidFill>
              <a:latin typeface="Pero" panose="020F0506020203030304" pitchFamily="34" charset="0"/>
              <a:ea typeface="+mn-ea"/>
              <a:cs typeface="+mn-cs"/>
            </a:rPr>
            <a:t>Medium	Data quality: Self-reported income or proxy measures with moderate rigor.</a:t>
          </a:r>
        </a:p>
        <a:p>
          <a:r>
            <a:rPr lang="en-US" sz="1050" b="0" i="0" u="none" strike="noStrike" baseline="0">
              <a:solidFill>
                <a:schemeClr val="dk1"/>
              </a:solidFill>
              <a:latin typeface="Pero" panose="020F0506020203030304" pitchFamily="34" charset="0"/>
              <a:ea typeface="+mn-ea"/>
              <a:cs typeface="+mn-cs"/>
            </a:rPr>
            <a:t>	Precision: Moderately wide CI (CI width 30-60%).</a:t>
          </a:r>
        </a:p>
        <a:p>
          <a:r>
            <a:rPr lang="en-US" sz="1050" b="0" i="0" u="none" strike="noStrike" baseline="0">
              <a:solidFill>
                <a:schemeClr val="dk1"/>
              </a:solidFill>
              <a:latin typeface="Pero" panose="020F0506020203030304" pitchFamily="34" charset="0"/>
              <a:ea typeface="+mn-ea"/>
              <a:cs typeface="+mn-cs"/>
            </a:rPr>
            <a:t>	Assumptions: Some substantiated assumptions (with some form of support based on available evidence or logical reasoning).</a:t>
          </a:r>
        </a:p>
        <a:p>
          <a:r>
            <a:rPr lang="en-US" sz="1050" b="0" i="0" u="none" strike="noStrike" baseline="0">
              <a:solidFill>
                <a:schemeClr val="dk1"/>
              </a:solidFill>
              <a:latin typeface="Pero" panose="020F0506020203030304" pitchFamily="34" charset="0"/>
              <a:ea typeface="+mn-ea"/>
              <a:cs typeface="+mn-cs"/>
            </a:rPr>
            <a:t>High	Data quality: Household consumption expenditure measurement in rigorous experimental/quasi-experimental design.</a:t>
          </a:r>
        </a:p>
        <a:p>
          <a:r>
            <a:rPr lang="en-US" sz="1050" b="0" i="0" u="none" strike="noStrike" baseline="0">
              <a:solidFill>
                <a:schemeClr val="dk1"/>
              </a:solidFill>
              <a:latin typeface="Pero" panose="020F0506020203030304" pitchFamily="34" charset="0"/>
              <a:ea typeface="+mn-ea"/>
              <a:cs typeface="+mn-cs"/>
            </a:rPr>
            <a:t>	Precision: Income estimates significant at 5% (p&lt;0.05) with narrow confidence intervals (i.e., CI width &lt; 31% of the point estimate).</a:t>
          </a:r>
        </a:p>
        <a:p>
          <a:r>
            <a:rPr lang="en-US" sz="1050" b="0" i="0" u="none" strike="noStrike" baseline="0">
              <a:solidFill>
                <a:schemeClr val="dk1"/>
              </a:solidFill>
              <a:latin typeface="Pero" panose="020F0506020203030304" pitchFamily="34" charset="0"/>
              <a:ea typeface="+mn-ea"/>
              <a:cs typeface="+mn-cs"/>
            </a:rPr>
            <a:t>	Assumptions: Few untested assumptions</a:t>
          </a:r>
        </a:p>
      </xdr:txBody>
    </xdr:sp>
    <xdr:clientData/>
  </xdr:twoCellAnchor>
  <xdr:twoCellAnchor>
    <xdr:from>
      <xdr:col>0</xdr:col>
      <xdr:colOff>276225</xdr:colOff>
      <xdr:row>12</xdr:row>
      <xdr:rowOff>66674</xdr:rowOff>
    </xdr:from>
    <xdr:to>
      <xdr:col>14</xdr:col>
      <xdr:colOff>596900</xdr:colOff>
      <xdr:row>19</xdr:row>
      <xdr:rowOff>57150</xdr:rowOff>
    </xdr:to>
    <xdr:sp macro="" textlink="">
      <xdr:nvSpPr>
        <xdr:cNvPr id="3" name="TextBox 2">
          <a:extLst>
            <a:ext uri="{FF2B5EF4-FFF2-40B4-BE49-F238E27FC236}">
              <a16:creationId xmlns:a16="http://schemas.microsoft.com/office/drawing/2014/main" id="{9F451C6E-2D33-4696-B354-9EACE4063689}"/>
            </a:ext>
          </a:extLst>
        </xdr:cNvPr>
        <xdr:cNvSpPr txBox="1"/>
      </xdr:nvSpPr>
      <xdr:spPr>
        <a:xfrm>
          <a:off x="276225" y="2238374"/>
          <a:ext cx="8855075" cy="125730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*Methodological rigor: </a:t>
          </a:r>
          <a:endParaRPr lang="en-US" sz="1050" b="0" i="0" u="none" strike="noStrike" baseline="0">
            <a:solidFill>
              <a:schemeClr val="dk1"/>
            </a:solidFill>
            <a:latin typeface="Pero" panose="020F0506020203030304" pitchFamily="34" charset="0"/>
            <a:ea typeface="+mn-ea"/>
            <a:cs typeface="+mn-cs"/>
          </a:endParaRPr>
        </a:p>
        <a:p>
          <a:r>
            <a:rPr lang="en-US" sz="1050" b="0" i="0" u="none" strike="noStrike" baseline="0">
              <a:solidFill>
                <a:schemeClr val="dk1"/>
              </a:solidFill>
              <a:latin typeface="Pero" panose="020F0506020203030304" pitchFamily="34" charset="0"/>
              <a:ea typeface="+mn-ea"/>
              <a:cs typeface="+mn-cs"/>
            </a:rPr>
            <a:t>Fair	Design and methods have significant limitations that reduce confidence in causal claims.</a:t>
          </a:r>
        </a:p>
        <a:p>
          <a:r>
            <a:rPr lang="en-US" sz="1050" b="0" i="0" u="none" strike="noStrike" baseline="0">
              <a:solidFill>
                <a:schemeClr val="dk1"/>
              </a:solidFill>
              <a:latin typeface="Pero" panose="020F0506020203030304" pitchFamily="34" charset="0"/>
              <a:ea typeface="+mn-ea"/>
              <a:cs typeface="+mn-cs"/>
            </a:rPr>
            <a:t>Good	Design is generally appropriate, with clear and justified sampling and analytical methods, though some limitations remain	Assumptions: Some substantiated assumptions (with some form of support based on available evidence or logical reasoning).</a:t>
          </a:r>
        </a:p>
        <a:p>
          <a:r>
            <a:rPr lang="en-US" sz="1050" b="0" i="0" u="none" strike="noStrike" baseline="0">
              <a:solidFill>
                <a:schemeClr val="dk1"/>
              </a:solidFill>
              <a:latin typeface="Pero" panose="020F0506020203030304" pitchFamily="34" charset="0"/>
              <a:ea typeface="+mn-ea"/>
              <a:cs typeface="+mn-cs"/>
            </a:rPr>
            <a:t>Excellent	Rigorous design with well-documented, robust methods that effectively address potential biases and support strong causal 		inferences.</a:t>
          </a:r>
        </a:p>
      </xdr:txBody>
    </xdr:sp>
    <xdr:clientData/>
  </xdr:twoCellAnchor>
  <xdr:twoCellAnchor>
    <xdr:from>
      <xdr:col>0</xdr:col>
      <xdr:colOff>273050</xdr:colOff>
      <xdr:row>20</xdr:row>
      <xdr:rowOff>22224</xdr:rowOff>
    </xdr:from>
    <xdr:to>
      <xdr:col>15</xdr:col>
      <xdr:colOff>0</xdr:colOff>
      <xdr:row>28</xdr:row>
      <xdr:rowOff>136524</xdr:rowOff>
    </xdr:to>
    <xdr:sp macro="" textlink="">
      <xdr:nvSpPr>
        <xdr:cNvPr id="4" name="TextBox 3">
          <a:extLst>
            <a:ext uri="{FF2B5EF4-FFF2-40B4-BE49-F238E27FC236}">
              <a16:creationId xmlns:a16="http://schemas.microsoft.com/office/drawing/2014/main" id="{B103C9AD-A7A5-4F9D-8C41-3CCAD0AA7C0B}"/>
            </a:ext>
          </a:extLst>
        </xdr:cNvPr>
        <xdr:cNvSpPr txBox="1"/>
      </xdr:nvSpPr>
      <xdr:spPr>
        <a:xfrm>
          <a:off x="273050" y="3641724"/>
          <a:ext cx="8870950" cy="15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*Discrount rate</a:t>
          </a:r>
          <a:r>
            <a:rPr lang="en-US" sz="1050">
              <a:solidFill>
                <a:schemeClr val="dk1"/>
              </a:solidFill>
              <a:effectLst/>
              <a:latin typeface="Pero" panose="020F0506020203030304" pitchFamily="34" charset="0"/>
              <a:ea typeface="+mn-ea"/>
              <a:cs typeface="+mn-cs"/>
            </a:rPr>
            <a:t>:</a:t>
          </a:r>
          <a:r>
            <a:rPr lang="en-US" sz="1050" baseline="0">
              <a:solidFill>
                <a:schemeClr val="dk1"/>
              </a:solidFill>
              <a:effectLst/>
              <a:latin typeface="Pero" panose="020F0506020203030304" pitchFamily="34" charset="0"/>
              <a:ea typeface="+mn-ea"/>
              <a:cs typeface="+mn-cs"/>
            </a:rPr>
            <a:t> </a:t>
          </a:r>
          <a:r>
            <a:rPr lang="en-US" sz="1050">
              <a:solidFill>
                <a:schemeClr val="dk1"/>
              </a:solidFill>
              <a:effectLst/>
              <a:latin typeface="Pero" panose="020F0506020203030304" pitchFamily="34" charset="0"/>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50">
              <a:solidFill>
                <a:schemeClr val="dk1"/>
              </a:solidFill>
              <a:effectLst/>
              <a:latin typeface="Pero" panose="020F0506020203030304" pitchFamily="34" charset="0"/>
              <a:ea typeface="+mn-ea"/>
              <a:cs typeface="+mn-cs"/>
            </a:rPr>
            <a:t>Looking at the median discount rate, calculated based on the SOC, across countries suggests that anything between 10-12 percent is a reasonable rate for discounting the costs and benefits of rural livelihoods programs in developing countries. We've chosen to set the discount rate to 10 percent to ensure consistency across all programs in the analysis. (For a list of discount rates used by various governments and organizations, see Table 2 of Dhaliwal et al., 2013.)</a:t>
          </a:r>
        </a:p>
        <a:p>
          <a:r>
            <a:rPr lang="en-US" sz="1050">
              <a:solidFill>
                <a:schemeClr val="dk1"/>
              </a:solidFill>
              <a:effectLst/>
              <a:latin typeface="Pero" panose="020F0506020203030304" pitchFamily="34" charset="0"/>
              <a:ea typeface="+mn-ea"/>
              <a:cs typeface="+mn-cs"/>
            </a:rPr>
            <a:t> </a:t>
          </a:r>
        </a:p>
      </xdr:txBody>
    </xdr:sp>
    <xdr:clientData/>
  </xdr:twoCellAnchor>
  <xdr:twoCellAnchor>
    <xdr:from>
      <xdr:col>0</xdr:col>
      <xdr:colOff>295276</xdr:colOff>
      <xdr:row>36</xdr:row>
      <xdr:rowOff>3776</xdr:rowOff>
    </xdr:from>
    <xdr:to>
      <xdr:col>15</xdr:col>
      <xdr:colOff>9526</xdr:colOff>
      <xdr:row>51</xdr:row>
      <xdr:rowOff>94392</xdr:rowOff>
    </xdr:to>
    <xdr:sp macro="" textlink="">
      <xdr:nvSpPr>
        <xdr:cNvPr id="7" name="TextBox 4">
          <a:extLst>
            <a:ext uri="{FF2B5EF4-FFF2-40B4-BE49-F238E27FC236}">
              <a16:creationId xmlns:a16="http://schemas.microsoft.com/office/drawing/2014/main" id="{E19C61C1-5D27-4E76-97EE-778E5A3C95BE}"/>
            </a:ext>
          </a:extLst>
        </xdr:cNvPr>
        <xdr:cNvSpPr txBox="1"/>
      </xdr:nvSpPr>
      <xdr:spPr>
        <a:xfrm>
          <a:off x="295276" y="6576026"/>
          <a:ext cx="9358313" cy="282905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*Yield benefit</a:t>
          </a:r>
          <a:r>
            <a:rPr lang="en-US" sz="1050" b="1" baseline="0">
              <a:solidFill>
                <a:schemeClr val="dk1"/>
              </a:solidFill>
              <a:effectLst/>
              <a:latin typeface="Pero" panose="020F0506020203030304" pitchFamily="34" charset="0"/>
              <a:ea typeface="+mn-ea"/>
              <a:cs typeface="+mn-cs"/>
            </a:rPr>
            <a:t> of GAP adoption without stumping: </a:t>
          </a:r>
          <a:r>
            <a:rPr lang="en-US" sz="1050" b="0" baseline="0">
              <a:solidFill>
                <a:schemeClr val="dk1"/>
              </a:solidFill>
              <a:effectLst/>
              <a:latin typeface="Pero" panose="020F0506020203030304" pitchFamily="34" charset="0"/>
              <a:ea typeface="+mn-ea"/>
              <a:cs typeface="+mn-cs"/>
            </a:rPr>
            <a:t>We have no evidence on the yield effect of the adoption of GAPs other than stumping. The UCAT RCT reports ITT esimates on coffee yield per tree between 4.1% and 10.5% of a training program on regenerative agriculture practices in coffee including rejuvenation in Uganda. We assume that yield effects start one year after the start of programming (as it takes 1 year to cover all training topics).</a:t>
          </a:r>
        </a:p>
        <a:p>
          <a:endParaRPr lang="en-US" sz="1050" b="0" baseline="0">
            <a:solidFill>
              <a:schemeClr val="dk1"/>
            </a:solidFill>
            <a:effectLst/>
            <a:latin typeface="Pero" panose="020F0506020203030304" pitchFamily="34" charset="0"/>
            <a:ea typeface="+mn-ea"/>
            <a:cs typeface="+mn-cs"/>
          </a:endParaRPr>
        </a:p>
        <a:p>
          <a:r>
            <a:rPr lang="en-US" sz="1050" b="1" baseline="0">
              <a:solidFill>
                <a:schemeClr val="dk1"/>
              </a:solidFill>
              <a:effectLst/>
              <a:latin typeface="Pero" panose="020F0506020203030304" pitchFamily="34" charset="0"/>
              <a:ea typeface="+mn-ea"/>
              <a:cs typeface="+mn-cs"/>
            </a:rPr>
            <a:t>*Yield benefit of stumping: </a:t>
          </a:r>
          <a:r>
            <a:rPr lang="en-US" sz="1050" b="0" baseline="0">
              <a:solidFill>
                <a:schemeClr val="dk1"/>
              </a:solidFill>
              <a:effectLst/>
              <a:latin typeface="Pero" panose="020F0506020203030304" pitchFamily="34" charset="0"/>
              <a:ea typeface="+mn-ea"/>
              <a:cs typeface="+mn-cs"/>
            </a:rPr>
            <a:t>For the yield benefit of stumping we follow results from a TNS yield study that compared the yield of unstumped and stumped trees on a small number of demo-plots over time. It is assumed that these effects reflect the yield benefit of stumping plus the adoption of other good agricultural practices. The HWG yield pilot study conducted with Laterite in Sidama during the third harvest after stumping found an unconditional impact of 40% of stumping on coffee yield. After accounting for complementary best practices, tree characteristics and location, coffee trees on stumped plots yield 21-23% more compared to trees on unstumped coffee plots. This is significantly lower than the findings of the TNS yield study. We still rely on the TNS study, as the HWG pliot yield study only covered one point in time. </a:t>
          </a:r>
        </a:p>
        <a:p>
          <a:endParaRPr lang="en-US" sz="1050" b="0" baseline="0">
            <a:solidFill>
              <a:schemeClr val="dk1"/>
            </a:solidFill>
            <a:effectLst/>
            <a:latin typeface="Pero" panose="020F0506020203030304" pitchFamily="34" charset="0"/>
            <a:ea typeface="+mn-ea"/>
            <a:cs typeface="+mn-cs"/>
          </a:endParaRPr>
        </a:p>
        <a:p>
          <a:r>
            <a:rPr lang="en-US" sz="1050" b="1" baseline="0">
              <a:solidFill>
                <a:schemeClr val="dk1"/>
              </a:solidFill>
              <a:effectLst/>
              <a:latin typeface="Pero" panose="020F0506020203030304" pitchFamily="34" charset="0"/>
              <a:ea typeface="+mn-ea"/>
              <a:cs typeface="+mn-cs"/>
            </a:rPr>
            <a:t>*Dynamic yield benefits: </a:t>
          </a:r>
          <a:r>
            <a:rPr lang="en-US" sz="1050" b="0" baseline="0">
              <a:solidFill>
                <a:schemeClr val="dk1"/>
              </a:solidFill>
              <a:effectLst/>
              <a:latin typeface="Pero" panose="020F0506020203030304" pitchFamily="34" charset="0"/>
              <a:ea typeface="+mn-ea"/>
              <a:cs typeface="+mn-cs"/>
            </a:rPr>
            <a:t>The available evaluation data does not allow us to estimate the dynamic effects of the CFC on practice adoption - it is possible that the effects became either stronger or weaker over time. We apply findings from a previous evaluation of TechnoServe's coffee training program in East Africa (IPE Tripe Line, 2017) to model the time path of impact. This allows us to approximate the return on the training over a period of 10 years. The Triple Line evaluation concluded that 63% of the improvement in practice adoption achieved by the end of the training period remained 5 years later. Assuming the decay in farmers' practice adoption is linear implies an annual decay of 7.3% of the initial improvement.</a:t>
          </a:r>
          <a:endParaRPr lang="en-US" sz="1050" b="1">
            <a:solidFill>
              <a:schemeClr val="dk1"/>
            </a:solidFill>
            <a:effectLst/>
            <a:latin typeface="Pero" panose="020F0506020203030304" pitchFamily="34" charset="0"/>
            <a:ea typeface="+mn-ea"/>
            <a:cs typeface="+mn-cs"/>
          </a:endParaRPr>
        </a:p>
      </xdr:txBody>
    </xdr:sp>
    <xdr:clientData/>
  </xdr:twoCellAnchor>
  <xdr:twoCellAnchor>
    <xdr:from>
      <xdr:col>0</xdr:col>
      <xdr:colOff>295276</xdr:colOff>
      <xdr:row>29</xdr:row>
      <xdr:rowOff>85725</xdr:rowOff>
    </xdr:from>
    <xdr:to>
      <xdr:col>14</xdr:col>
      <xdr:colOff>557771</xdr:colOff>
      <xdr:row>35</xdr:row>
      <xdr:rowOff>42905</xdr:rowOff>
    </xdr:to>
    <xdr:sp macro="" textlink="">
      <xdr:nvSpPr>
        <xdr:cNvPr id="6" name="TextBox 5">
          <a:extLst>
            <a:ext uri="{FF2B5EF4-FFF2-40B4-BE49-F238E27FC236}">
              <a16:creationId xmlns:a16="http://schemas.microsoft.com/office/drawing/2014/main" id="{B0357783-5EFA-49A5-8CC8-C807E8590FA0}"/>
            </a:ext>
          </a:extLst>
        </xdr:cNvPr>
        <xdr:cNvSpPr txBox="1"/>
      </xdr:nvSpPr>
      <xdr:spPr>
        <a:xfrm>
          <a:off x="295276" y="5311603"/>
          <a:ext cx="9272630" cy="103839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*Accounting for inflation: </a:t>
          </a:r>
          <a:r>
            <a:rPr lang="en-US" sz="1050" b="0">
              <a:solidFill>
                <a:schemeClr val="dk1"/>
              </a:solidFill>
              <a:effectLst/>
              <a:latin typeface="Pero" panose="020F0506020203030304" pitchFamily="34" charset="0"/>
              <a:ea typeface="+mn-ea"/>
              <a:cs typeface="+mn-cs"/>
            </a:rPr>
            <a:t>We present cash flows in real values, deflating coffee prices and labor costs (for the calculation of profits from coffee) as well as project costs back to real value in base year (2021 for C2022 and 2022 for C2023), using average annual LCU inflation rate over time elapsed between base year and the incurrence of benefits/costs. We take the present value of these cash flows and then inflate forward to the year of analysis (2021), using average annual LCU inflation rate over time elapsed between base year and year of analysis. We selected 2021 as year of analysis because it aligns with the latest international poverty line and purchasing power parity (PPP) update (World Bank Group 2025).</a:t>
          </a:r>
        </a:p>
      </xdr:txBody>
    </xdr:sp>
    <xdr:clientData/>
  </xdr:twoCellAnchor>
</xdr:wsDr>
</file>

<file path=xl/persons/person.xml><?xml version="1.0" encoding="utf-8"?>
<personList xmlns="http://schemas.microsoft.com/office/spreadsheetml/2018/threadedcomments" xmlns:x="http://schemas.openxmlformats.org/spreadsheetml/2006/main">
  <person displayName="Kühling, Marlene" id="{FE1B7D74-7FA0-4979-B336-409E6FCDAE9B}" userId="S::mkuehling@herewegrow.org::2654acc4-f93b-4a61-a09f-215039356081" providerId="AD"/>
  <person displayName="Gutiérrez, Marlene" id="{2553C6AA-EBD4-495E-AC20-95B3AB0088D0}" userId="S::mgutierrez@herewegrow.org::2654acc4-f93b-4a61-a09f-215039356081"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2" dT="2025-07-03T08:34:55.53" personId="{2553C6AA-EBD4-495E-AC20-95B3AB0088D0}" id="{091E9335-EEC7-4E61-8429-F70C588A699A}">
    <text>Following UCAT, we assume a linear decay in farmers' practice adoption by 7.3% of the initial improvement per year; Share of HH adopting additional 2 BP = 34% 
Endline C22, p. 38</text>
  </threadedComment>
  <threadedComment ref="B32" dT="2025-07-03T08:34:55.53" personId="{2553C6AA-EBD4-495E-AC20-95B3AB0088D0}" id="{139F4E7C-E06E-445B-B894-0054E7D50D3C}">
    <text>Following UCAT, we assume a linear decay in farmers' practice adoption by 7.3% of the initial improvement per year; Share of HH adopting additional 2 BP = 34% 
Endline C22, p. 38</text>
  </threadedComment>
  <threadedComment ref="B56" dT="2025-07-03T08:34:55.53" personId="{2553C6AA-EBD4-495E-AC20-95B3AB0088D0}" id="{555F6E6C-CD0D-4FF1-833A-23B2E29F2200}">
    <text>Following UCAT, we assume a linear decay in farmers' practice adoption by 7.3% of the initial improvement per year; Share of HH adopting additional 2 BP = 34% 
Endline C22, p. 38</text>
  </threadedComment>
  <threadedComment ref="F64" dT="2025-08-13T10:21:09.35" personId="{2553C6AA-EBD4-495E-AC20-95B3AB0088D0}" id="{3FFD43D1-4214-43D4-AE83-D6FDDB7637F4}">
    <text>From Technoserve Stumping Verification Report</text>
  </threadedComment>
  <threadedComment ref="B67" dT="2025-07-03T08:34:55.53" personId="{2553C6AA-EBD4-495E-AC20-95B3AB0088D0}" id="{FBA5C1E7-50DA-4A5C-9A08-0247DCC36EB1}">
    <text>Following UCAT, we assume a linear decay in farmers' practice adoption by 7.3% of the initial improvement per year; Share of HH adopting additional 2 BP = 34% 
Endline C22, p. 38</text>
  </threadedComment>
  <threadedComment ref="G103" dT="2025-03-31T08:43:40.13" personId="{FE1B7D74-7FA0-4979-B336-409E6FCDAE9B}" id="{4A06939C-1328-48EF-8B6D-75D376692E84}">
    <text>+ 400k € funding for second round of incentives</text>
  </threadedComment>
  <threadedComment ref="G103" dT="2025-08-28T09:50:11.53" personId="{2553C6AA-EBD4-495E-AC20-95B3AB0088D0}" id="{46F65113-C7F0-48BF-825B-8F133F10BE2D}" parentId="{4A06939C-1328-48EF-8B6D-75D376692E84}">
    <text xml:space="preserve">HereWeGrow: EUR LAST INVOICE MISSING 417920 Annual Budget PLAN for 2025 (estimated based on preliminary 2024 financial close)
Enveritas: EUR 309,743 (funding is provided in US $ and the Euro figure is estimated based on current exchange rates)
Private Donor: EUR 99,963 (funding is provided in US $ and the Euro figure is estimated based on current exchange rates) </text>
  </threadedComment>
  <threadedComment ref="G103" dT="2025-08-28T09:53:22.71" personId="{2553C6AA-EBD4-495E-AC20-95B3AB0088D0}" id="{31305CFE-71D5-4CBB-B079-E0A52820FEAE}" parentId="{4A06939C-1328-48EF-8B6D-75D376692E84}">
    <text>HereWeGrow amount has to be adjusted once we have the final invoice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ifpri.org/" TargetMode="External"/><Relationship Id="rId2" Type="http://schemas.openxmlformats.org/officeDocument/2006/relationships/hyperlink" Target="https://www.c4ed.org/" TargetMode="External"/><Relationship Id="rId1" Type="http://schemas.openxmlformats.org/officeDocument/2006/relationships/hyperlink" Target="https://www.technoserve.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x:/s/herewegrow.org/ERlS9FXgCL1Bj99UidipIVQB5qhCIs054VBalOQ2XFI7BA?e=wMtnLd" TargetMode="External"/><Relationship Id="rId7" Type="http://schemas.microsoft.com/office/2017/10/relationships/threadedComment" Target="../threadedComments/threadedComment1.xml"/><Relationship Id="rId2" Type="http://schemas.openxmlformats.org/officeDocument/2006/relationships/hyperlink" Target="../../../../../03%20Abgeschlossen/S_RD201_RD2Vision_Coffee_Profitability/07%20Projektdokumenation/01%20Deliverables/2%20Deliverable/2022%2003%20HWG%20RD2%20Gap%20Model%20Deliverable%202.xlsx?web=1" TargetMode="External"/><Relationship Id="rId1" Type="http://schemas.openxmlformats.org/officeDocument/2006/relationships/hyperlink" Target="../../../../../03%20Abgeschlossen/S_RD201_RD2Vision_Coffee_Profitability/07%20Projektdokumenation/01%20Deliverables/2%20Deliverable/2022%2003%20HWG%20RD2%20Gap%20Model%20Deliverable%202.xlsx?web=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mf.org/en/Publications/WEO/weo-database/2025/april/weo-report?c=644,&amp;s=NGDP_D,&amp;sy=2017&amp;ey=2030&amp;ssm=0&amp;scsm=1&amp;scc=0&amp;ssd=1&amp;ssc=0&amp;sic=0&amp;sort=country&amp;ds=.&amp;br=1" TargetMode="External"/><Relationship Id="rId1" Type="http://schemas.openxmlformats.org/officeDocument/2006/relationships/hyperlink" Target="../../../../../03%20Abgeschlossen/S_RD201_RD2Vision_Coffee_Profitability/07%20Projektdokumenation/01%20Deliverables/2%20Deliverable/2022%2003%20HWG%20RD2%20Gap%20Model%20Deliverable%202.xlsx?web=1"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9730-FD73-4A62-978B-BFD8DB0AECF7}">
  <dimension ref="A1:L80"/>
  <sheetViews>
    <sheetView showGridLines="0" tabSelected="1" zoomScale="70" zoomScaleNormal="70" workbookViewId="0">
      <selection activeCell="P40" sqref="P40"/>
    </sheetView>
  </sheetViews>
  <sheetFormatPr baseColWidth="10" defaultColWidth="9.26953125" defaultRowHeight="14.5" x14ac:dyDescent="0.35"/>
  <cols>
    <col min="1" max="1" width="4.453125" style="142" customWidth="1"/>
    <col min="2" max="2" width="29.54296875" style="142" customWidth="1"/>
    <col min="3" max="3" width="58" style="88" customWidth="1"/>
    <col min="4" max="4" width="16.26953125" customWidth="1"/>
    <col min="5" max="5" width="10" customWidth="1"/>
    <col min="12" max="12" width="4.54296875" customWidth="1"/>
  </cols>
  <sheetData>
    <row r="1" spans="1:12" ht="20.25" customHeight="1" x14ac:dyDescent="0.35">
      <c r="A1" s="89"/>
      <c r="B1" s="90"/>
      <c r="C1" s="91"/>
      <c r="D1" s="92"/>
      <c r="E1" s="92"/>
      <c r="F1" s="92"/>
      <c r="G1" s="92"/>
      <c r="H1" s="92"/>
      <c r="I1" s="92"/>
      <c r="J1" s="92"/>
      <c r="K1" s="92"/>
      <c r="L1" s="93"/>
    </row>
    <row r="2" spans="1:12" ht="24.75" customHeight="1" x14ac:dyDescent="0.4">
      <c r="A2" s="94"/>
      <c r="B2" s="95" t="s">
        <v>0</v>
      </c>
      <c r="C2" s="96" t="s">
        <v>1</v>
      </c>
      <c r="D2" s="97"/>
      <c r="E2" s="98"/>
      <c r="F2" s="98"/>
      <c r="G2" s="98"/>
      <c r="H2" s="98"/>
      <c r="I2" s="98"/>
      <c r="J2" s="98"/>
      <c r="K2" s="98"/>
      <c r="L2" s="99"/>
    </row>
    <row r="3" spans="1:12" ht="16.5" customHeight="1" x14ac:dyDescent="0.35">
      <c r="A3" s="98"/>
      <c r="B3" s="98"/>
      <c r="C3" s="98"/>
      <c r="D3" s="98"/>
      <c r="E3" s="98"/>
      <c r="F3" s="98"/>
      <c r="G3" s="98"/>
      <c r="H3" s="98"/>
      <c r="I3" s="98"/>
      <c r="J3" s="98"/>
      <c r="K3" s="98"/>
      <c r="L3" s="99"/>
    </row>
    <row r="4" spans="1:12" ht="18" x14ac:dyDescent="0.4">
      <c r="A4" s="103"/>
      <c r="B4" s="104" t="s">
        <v>2</v>
      </c>
      <c r="C4" s="105"/>
      <c r="D4" s="65"/>
      <c r="E4" s="106"/>
      <c r="F4" s="106"/>
      <c r="G4" s="106"/>
      <c r="H4" s="106"/>
      <c r="I4" s="107"/>
      <c r="J4" s="107"/>
      <c r="K4" s="107"/>
      <c r="L4" s="108"/>
    </row>
    <row r="5" spans="1:12" ht="9.65" customHeight="1" x14ac:dyDescent="0.4">
      <c r="A5" s="109"/>
      <c r="B5" s="110"/>
      <c r="C5" s="111"/>
      <c r="D5" s="112"/>
      <c r="E5" s="113"/>
      <c r="F5" s="113"/>
      <c r="G5" s="113"/>
      <c r="H5" s="113"/>
      <c r="I5" s="98"/>
      <c r="J5" s="98"/>
      <c r="K5" s="98"/>
      <c r="L5" s="99"/>
    </row>
    <row r="6" spans="1:12" ht="18" x14ac:dyDescent="0.4">
      <c r="A6" s="109"/>
      <c r="B6" s="114" t="s">
        <v>3</v>
      </c>
      <c r="C6" s="115" t="s">
        <v>1</v>
      </c>
      <c r="D6" s="116"/>
      <c r="E6" s="113"/>
      <c r="F6" s="113"/>
      <c r="G6" s="113"/>
      <c r="H6" s="113"/>
      <c r="I6" s="98"/>
      <c r="J6" s="98"/>
      <c r="K6" s="98"/>
      <c r="L6" s="99"/>
    </row>
    <row r="7" spans="1:12" x14ac:dyDescent="0.35">
      <c r="A7" s="109"/>
      <c r="B7" s="117" t="s">
        <v>4</v>
      </c>
      <c r="C7" s="118" t="s">
        <v>5</v>
      </c>
      <c r="D7" s="119"/>
      <c r="E7" s="113"/>
      <c r="F7" s="113"/>
      <c r="G7" s="113"/>
      <c r="H7" s="113"/>
      <c r="I7" s="98"/>
      <c r="J7" s="98"/>
      <c r="K7" s="98"/>
      <c r="L7" s="99"/>
    </row>
    <row r="8" spans="1:12" x14ac:dyDescent="0.35">
      <c r="A8" s="109"/>
      <c r="B8" s="117" t="s">
        <v>6</v>
      </c>
      <c r="C8" s="120" t="s">
        <v>7</v>
      </c>
      <c r="D8" s="120" t="s">
        <v>8</v>
      </c>
      <c r="E8" s="113"/>
      <c r="F8" s="113"/>
      <c r="G8" s="113"/>
      <c r="H8" s="113"/>
      <c r="I8" s="98"/>
      <c r="J8" s="98"/>
      <c r="K8" s="98"/>
      <c r="L8" s="99"/>
    </row>
    <row r="9" spans="1:12" x14ac:dyDescent="0.35">
      <c r="A9" s="109"/>
      <c r="B9" s="117" t="s">
        <v>9</v>
      </c>
      <c r="C9" s="115" t="s">
        <v>10</v>
      </c>
      <c r="D9" s="119"/>
      <c r="E9" s="113"/>
      <c r="F9" s="113"/>
      <c r="G9" s="113"/>
      <c r="H9" s="113"/>
      <c r="I9" s="98"/>
      <c r="J9" s="98"/>
      <c r="K9" s="98"/>
      <c r="L9" s="99"/>
    </row>
    <row r="10" spans="1:12" x14ac:dyDescent="0.35">
      <c r="A10" s="109"/>
      <c r="B10" s="117" t="s">
        <v>11</v>
      </c>
      <c r="C10" s="115" t="s">
        <v>12</v>
      </c>
      <c r="D10" s="119"/>
      <c r="E10" s="113"/>
      <c r="F10" s="113"/>
      <c r="G10" s="113"/>
      <c r="H10" s="113"/>
      <c r="I10" s="98"/>
      <c r="J10" s="98"/>
      <c r="K10" s="98"/>
      <c r="L10" s="99"/>
    </row>
    <row r="11" spans="1:12" x14ac:dyDescent="0.35">
      <c r="A11" s="109"/>
      <c r="B11" s="117" t="s">
        <v>13</v>
      </c>
      <c r="C11" s="121" t="s">
        <v>14</v>
      </c>
      <c r="D11" s="119"/>
      <c r="E11" s="113"/>
      <c r="F11" s="113"/>
      <c r="G11" s="113"/>
      <c r="H11" s="113"/>
      <c r="I11" s="98"/>
      <c r="J11" s="98"/>
      <c r="K11" s="98"/>
      <c r="L11" s="99"/>
    </row>
    <row r="12" spans="1:12" ht="43.5" x14ac:dyDescent="0.35">
      <c r="A12" s="109"/>
      <c r="B12" s="117" t="s">
        <v>15</v>
      </c>
      <c r="C12" s="115" t="s">
        <v>228</v>
      </c>
      <c r="D12" s="119"/>
      <c r="E12" s="113"/>
      <c r="F12" s="113"/>
      <c r="G12" s="113"/>
      <c r="H12" s="113"/>
      <c r="I12" s="98"/>
      <c r="J12" s="98"/>
      <c r="K12" s="98"/>
      <c r="L12" s="99"/>
    </row>
    <row r="13" spans="1:12" x14ac:dyDescent="0.35">
      <c r="A13" s="109"/>
      <c r="B13" s="117" t="s">
        <v>16</v>
      </c>
      <c r="C13" s="224">
        <f>SUM(SROI!C103:G103)</f>
        <v>3811777.69</v>
      </c>
      <c r="D13" s="119"/>
      <c r="E13" s="113"/>
      <c r="F13" s="113"/>
      <c r="G13" s="113"/>
      <c r="H13" s="113"/>
      <c r="I13" s="98"/>
      <c r="J13" s="98"/>
      <c r="K13" s="98"/>
      <c r="L13" s="99"/>
    </row>
    <row r="14" spans="1:12" x14ac:dyDescent="0.35">
      <c r="A14" s="109"/>
      <c r="B14" s="117" t="s">
        <v>17</v>
      </c>
      <c r="C14" s="289" t="s">
        <v>220</v>
      </c>
      <c r="D14" s="119"/>
      <c r="E14" s="113"/>
      <c r="F14" s="113"/>
      <c r="G14" s="113"/>
      <c r="H14" s="113"/>
      <c r="I14" s="98"/>
      <c r="J14" s="98"/>
      <c r="K14" s="98"/>
      <c r="L14" s="99"/>
    </row>
    <row r="15" spans="1:12" x14ac:dyDescent="0.35">
      <c r="A15" s="109"/>
      <c r="B15" s="117" t="s">
        <v>18</v>
      </c>
      <c r="C15" s="122">
        <v>45870</v>
      </c>
      <c r="D15" s="119" t="s">
        <v>231</v>
      </c>
      <c r="E15" s="113"/>
      <c r="F15" s="113"/>
      <c r="G15" s="113"/>
      <c r="H15" s="113"/>
      <c r="I15" s="98"/>
      <c r="J15" s="98"/>
      <c r="K15" s="98"/>
      <c r="L15" s="99"/>
    </row>
    <row r="16" spans="1:12" x14ac:dyDescent="0.35">
      <c r="A16" s="109"/>
      <c r="B16" s="117" t="s">
        <v>19</v>
      </c>
      <c r="C16" s="122" t="s">
        <v>20</v>
      </c>
      <c r="D16" s="119"/>
      <c r="E16" s="113"/>
      <c r="F16" s="113"/>
      <c r="G16" s="113"/>
      <c r="H16" s="113"/>
      <c r="I16" s="98"/>
      <c r="J16" s="98"/>
      <c r="K16" s="98"/>
      <c r="L16" s="99"/>
    </row>
    <row r="17" spans="1:12" x14ac:dyDescent="0.35">
      <c r="A17" s="109"/>
      <c r="B17" s="123"/>
      <c r="C17" s="124"/>
      <c r="D17" s="113"/>
      <c r="E17" s="113"/>
      <c r="F17" s="113"/>
      <c r="G17" s="113"/>
      <c r="H17" s="113"/>
      <c r="I17" s="98"/>
      <c r="J17" s="98"/>
      <c r="K17" s="98"/>
      <c r="L17" s="99"/>
    </row>
    <row r="18" spans="1:12" ht="18" x14ac:dyDescent="0.4">
      <c r="A18" s="103"/>
      <c r="B18" s="104" t="s">
        <v>21</v>
      </c>
      <c r="C18" s="105"/>
      <c r="D18" s="65"/>
      <c r="E18" s="65"/>
      <c r="F18" s="65"/>
      <c r="G18" s="65"/>
      <c r="H18" s="65"/>
      <c r="I18" s="65"/>
      <c r="J18" s="65"/>
      <c r="K18" s="65"/>
      <c r="L18" s="125"/>
    </row>
    <row r="19" spans="1:12" ht="18" x14ac:dyDescent="0.4">
      <c r="A19" s="126"/>
      <c r="B19" s="110"/>
      <c r="C19" s="111"/>
      <c r="D19" s="112"/>
      <c r="E19" s="113"/>
      <c r="F19" s="113"/>
      <c r="G19" s="113"/>
      <c r="H19" s="113"/>
      <c r="I19" s="98"/>
      <c r="J19" s="98"/>
      <c r="K19" s="98"/>
      <c r="L19" s="99"/>
    </row>
    <row r="20" spans="1:12" ht="18" x14ac:dyDescent="0.4">
      <c r="A20" s="127"/>
      <c r="B20" s="128" t="s">
        <v>22</v>
      </c>
      <c r="C20" s="364">
        <f>SROI!B121</f>
        <v>3.9709908458969636</v>
      </c>
      <c r="D20" s="98"/>
      <c r="E20" s="113"/>
      <c r="F20" s="113"/>
      <c r="G20" s="113"/>
      <c r="H20" s="113"/>
      <c r="I20" s="98"/>
      <c r="J20" s="98"/>
      <c r="K20" s="98"/>
      <c r="L20" s="99"/>
    </row>
    <row r="21" spans="1:12" x14ac:dyDescent="0.35">
      <c r="A21" s="129"/>
      <c r="B21" s="117" t="s">
        <v>23</v>
      </c>
      <c r="C21" s="115" t="s">
        <v>24</v>
      </c>
      <c r="D21" s="113"/>
      <c r="E21" s="113"/>
      <c r="F21" s="113"/>
      <c r="G21" s="113"/>
      <c r="H21" s="113"/>
      <c r="I21" s="98"/>
      <c r="J21" s="98"/>
      <c r="K21" s="98"/>
      <c r="L21" s="99"/>
    </row>
    <row r="22" spans="1:12" x14ac:dyDescent="0.35">
      <c r="A22" s="129"/>
      <c r="B22" s="117" t="s">
        <v>25</v>
      </c>
      <c r="C22" s="115" t="s">
        <v>26</v>
      </c>
      <c r="D22" s="98"/>
      <c r="E22" s="113"/>
      <c r="F22" s="113"/>
      <c r="G22" s="113"/>
      <c r="H22" s="113"/>
      <c r="I22" s="98"/>
      <c r="J22" s="98"/>
      <c r="K22" s="98"/>
      <c r="L22" s="99"/>
    </row>
    <row r="23" spans="1:12" ht="18" x14ac:dyDescent="0.4">
      <c r="A23" s="126"/>
      <c r="B23" s="110"/>
      <c r="C23" s="111"/>
      <c r="D23" s="112"/>
      <c r="E23" s="113"/>
      <c r="F23" s="113"/>
      <c r="G23" s="113"/>
      <c r="H23" s="113"/>
      <c r="I23" s="98"/>
      <c r="J23" s="98"/>
      <c r="K23" s="98"/>
      <c r="L23" s="99"/>
    </row>
    <row r="24" spans="1:12" ht="18" x14ac:dyDescent="0.4">
      <c r="A24" s="103"/>
      <c r="B24" s="104" t="s">
        <v>27</v>
      </c>
      <c r="C24" s="105"/>
      <c r="D24" s="65"/>
      <c r="E24" s="106"/>
      <c r="F24" s="106"/>
      <c r="G24" s="106"/>
      <c r="H24" s="106"/>
      <c r="I24" s="107"/>
      <c r="J24" s="107"/>
      <c r="K24" s="107"/>
      <c r="L24" s="108"/>
    </row>
    <row r="25" spans="1:12" ht="18" x14ac:dyDescent="0.4">
      <c r="A25" s="126"/>
      <c r="B25" s="110"/>
      <c r="C25" s="111"/>
      <c r="D25" s="112"/>
      <c r="E25" s="113"/>
      <c r="F25" s="113"/>
      <c r="G25" s="113"/>
      <c r="H25" s="113"/>
      <c r="I25" s="98"/>
      <c r="J25" s="98"/>
      <c r="K25" s="98"/>
      <c r="L25" s="99"/>
    </row>
    <row r="26" spans="1:12" ht="58" x14ac:dyDescent="0.35">
      <c r="A26" s="129"/>
      <c r="B26" s="117" t="s">
        <v>28</v>
      </c>
      <c r="C26" s="115" t="s">
        <v>29</v>
      </c>
      <c r="D26" s="113"/>
      <c r="E26" s="113"/>
      <c r="F26" s="113"/>
      <c r="G26" s="113"/>
      <c r="H26" s="113"/>
      <c r="I26" s="98"/>
      <c r="J26" s="98"/>
      <c r="K26" s="98"/>
      <c r="L26" s="99"/>
    </row>
    <row r="27" spans="1:12" x14ac:dyDescent="0.35">
      <c r="A27" s="129"/>
      <c r="B27" s="117" t="s">
        <v>30</v>
      </c>
      <c r="C27" s="115" t="s">
        <v>31</v>
      </c>
      <c r="D27" s="113"/>
      <c r="E27" s="113"/>
      <c r="F27" s="113"/>
      <c r="G27" s="113"/>
      <c r="H27" s="113"/>
      <c r="I27" s="98"/>
      <c r="J27" s="98"/>
      <c r="K27" s="98"/>
      <c r="L27" s="99"/>
    </row>
    <row r="28" spans="1:12" x14ac:dyDescent="0.35">
      <c r="A28" s="129"/>
      <c r="B28" s="117" t="s">
        <v>32</v>
      </c>
      <c r="C28" s="115" t="s">
        <v>221</v>
      </c>
      <c r="D28" s="113"/>
      <c r="E28" s="113"/>
      <c r="F28" s="113"/>
      <c r="G28" s="113"/>
      <c r="H28" s="113"/>
      <c r="I28" s="98"/>
      <c r="J28" s="98"/>
      <c r="K28" s="98"/>
      <c r="L28" s="99"/>
    </row>
    <row r="29" spans="1:12" x14ac:dyDescent="0.35">
      <c r="A29" s="129"/>
      <c r="B29" s="117" t="s">
        <v>33</v>
      </c>
      <c r="C29" s="115" t="s">
        <v>223</v>
      </c>
      <c r="D29" s="113"/>
      <c r="E29" s="113"/>
      <c r="F29" s="113"/>
      <c r="G29" s="113"/>
      <c r="H29" s="113"/>
      <c r="I29" s="98"/>
      <c r="J29" s="98"/>
      <c r="K29" s="98"/>
      <c r="L29" s="99"/>
    </row>
    <row r="30" spans="1:12" x14ac:dyDescent="0.35">
      <c r="A30" s="129"/>
      <c r="B30" s="117"/>
      <c r="C30" s="115" t="s">
        <v>222</v>
      </c>
      <c r="D30" s="113"/>
      <c r="E30" s="113"/>
      <c r="F30" s="113"/>
      <c r="G30" s="113"/>
      <c r="H30" s="113"/>
      <c r="I30" s="98"/>
      <c r="J30" s="98"/>
      <c r="K30" s="98"/>
      <c r="L30" s="99"/>
    </row>
    <row r="31" spans="1:12" x14ac:dyDescent="0.35">
      <c r="A31" s="129"/>
      <c r="B31" s="117" t="s">
        <v>34</v>
      </c>
      <c r="C31" s="115" t="s">
        <v>35</v>
      </c>
      <c r="D31" s="113"/>
      <c r="E31" s="113"/>
      <c r="F31" s="113"/>
      <c r="G31" s="113"/>
      <c r="H31" s="113"/>
      <c r="I31" s="98"/>
      <c r="J31" s="98"/>
      <c r="K31" s="98"/>
      <c r="L31" s="99"/>
    </row>
    <row r="32" spans="1:12" x14ac:dyDescent="0.35">
      <c r="A32" s="129"/>
      <c r="B32" s="117" t="s">
        <v>36</v>
      </c>
      <c r="C32" s="115" t="s">
        <v>37</v>
      </c>
      <c r="D32" s="113"/>
      <c r="E32" s="113"/>
      <c r="F32" s="113"/>
      <c r="G32" s="113"/>
      <c r="H32" s="113"/>
      <c r="I32" s="98"/>
      <c r="J32" s="98"/>
      <c r="K32" s="98"/>
      <c r="L32" s="99"/>
    </row>
    <row r="33" spans="1:12" x14ac:dyDescent="0.35">
      <c r="A33" s="130"/>
      <c r="B33" s="131"/>
      <c r="C33" s="124"/>
      <c r="D33" s="113"/>
      <c r="E33" s="113"/>
      <c r="F33" s="113"/>
      <c r="G33" s="113"/>
      <c r="H33" s="113"/>
      <c r="I33" s="98"/>
      <c r="J33" s="98"/>
      <c r="K33" s="98"/>
      <c r="L33" s="99"/>
    </row>
    <row r="34" spans="1:12" ht="18" x14ac:dyDescent="0.4">
      <c r="A34" s="103"/>
      <c r="B34" s="104" t="s">
        <v>38</v>
      </c>
      <c r="C34" s="105"/>
      <c r="D34" s="65"/>
      <c r="E34" s="106"/>
      <c r="F34" s="106"/>
      <c r="G34" s="106"/>
      <c r="H34" s="106"/>
      <c r="I34" s="107"/>
      <c r="J34" s="107"/>
      <c r="K34" s="107"/>
      <c r="L34" s="108"/>
    </row>
    <row r="35" spans="1:12" ht="9" customHeight="1" x14ac:dyDescent="0.4">
      <c r="A35" s="126"/>
      <c r="B35" s="110"/>
      <c r="C35" s="111"/>
      <c r="D35" s="112"/>
      <c r="E35" s="113"/>
      <c r="F35" s="113"/>
      <c r="G35" s="113"/>
      <c r="H35" s="113"/>
      <c r="I35" s="98"/>
      <c r="J35" s="98"/>
      <c r="K35" s="98"/>
      <c r="L35" s="99"/>
    </row>
    <row r="36" spans="1:12" ht="86.15" customHeight="1" x14ac:dyDescent="0.35">
      <c r="A36" s="129"/>
      <c r="B36" s="117" t="s">
        <v>39</v>
      </c>
      <c r="C36" s="390" t="s">
        <v>225</v>
      </c>
      <c r="D36" s="391"/>
      <c r="E36" s="391"/>
      <c r="F36" s="391"/>
      <c r="G36" s="391"/>
      <c r="H36" s="391"/>
      <c r="I36" s="391"/>
      <c r="J36" s="391"/>
      <c r="K36" s="392"/>
      <c r="L36" s="99"/>
    </row>
    <row r="37" spans="1:12" ht="75" customHeight="1" x14ac:dyDescent="0.35">
      <c r="A37" s="129"/>
      <c r="B37" s="117" t="s">
        <v>224</v>
      </c>
      <c r="C37" s="390" t="s">
        <v>226</v>
      </c>
      <c r="D37" s="391"/>
      <c r="E37" s="393"/>
      <c r="F37" s="393"/>
      <c r="G37" s="393"/>
      <c r="H37" s="393"/>
      <c r="I37" s="393"/>
      <c r="J37" s="393"/>
      <c r="K37" s="394"/>
      <c r="L37" s="99"/>
    </row>
    <row r="38" spans="1:12" ht="84" customHeight="1" x14ac:dyDescent="0.35">
      <c r="A38" s="129"/>
      <c r="B38" s="117" t="s">
        <v>41</v>
      </c>
      <c r="C38" s="390" t="s">
        <v>227</v>
      </c>
      <c r="D38" s="391"/>
      <c r="E38" s="393"/>
      <c r="F38" s="393"/>
      <c r="G38" s="393"/>
      <c r="H38" s="393"/>
      <c r="I38" s="393"/>
      <c r="J38" s="393"/>
      <c r="K38" s="394"/>
      <c r="L38" s="99"/>
    </row>
    <row r="39" spans="1:12" x14ac:dyDescent="0.35">
      <c r="A39" s="132"/>
      <c r="B39" s="133"/>
      <c r="C39" s="102"/>
      <c r="D39" s="98"/>
      <c r="E39" s="98"/>
      <c r="F39" s="98"/>
      <c r="G39" s="98"/>
      <c r="H39" s="98"/>
      <c r="I39" s="98"/>
      <c r="J39" s="98"/>
      <c r="K39" s="98"/>
      <c r="L39" s="99"/>
    </row>
    <row r="40" spans="1:12" ht="18" x14ac:dyDescent="0.4">
      <c r="A40" s="103"/>
      <c r="B40" s="104" t="s">
        <v>42</v>
      </c>
      <c r="C40" s="105"/>
      <c r="D40" s="65"/>
      <c r="E40" s="106"/>
      <c r="F40" s="106"/>
      <c r="G40" s="106"/>
      <c r="H40" s="106"/>
      <c r="I40" s="107"/>
      <c r="J40" s="107"/>
      <c r="K40" s="107"/>
      <c r="L40" s="108"/>
    </row>
    <row r="41" spans="1:12" x14ac:dyDescent="0.35">
      <c r="A41" s="132"/>
      <c r="B41" s="133"/>
      <c r="C41" s="102"/>
      <c r="D41" s="98"/>
      <c r="E41" s="98"/>
      <c r="F41" s="98"/>
      <c r="G41" s="98"/>
      <c r="H41" s="98"/>
      <c r="I41" s="98"/>
      <c r="J41" s="98"/>
      <c r="K41" s="98"/>
      <c r="L41" s="99"/>
    </row>
    <row r="42" spans="1:12" x14ac:dyDescent="0.35">
      <c r="A42" s="132"/>
      <c r="B42" s="133"/>
      <c r="C42" s="102"/>
      <c r="D42" s="98"/>
      <c r="F42" t="s">
        <v>43</v>
      </c>
      <c r="G42" t="s">
        <v>44</v>
      </c>
      <c r="H42" s="98"/>
      <c r="I42" s="98"/>
      <c r="J42" s="98"/>
      <c r="K42" s="98"/>
      <c r="L42" s="99"/>
    </row>
    <row r="43" spans="1:12" x14ac:dyDescent="0.35">
      <c r="A43" s="132"/>
      <c r="B43" s="133"/>
      <c r="C43" s="102"/>
      <c r="D43" s="134"/>
      <c r="E43" t="s">
        <v>45</v>
      </c>
      <c r="F43" s="58">
        <f>SUM(SROI!D28:M28)</f>
        <v>34.784909334964631</v>
      </c>
      <c r="G43" s="58">
        <f>SUM(SROI!E63:N63)</f>
        <v>47.172269944101011</v>
      </c>
      <c r="H43" s="98"/>
      <c r="I43" s="98"/>
      <c r="J43" s="98"/>
      <c r="K43" s="98"/>
      <c r="L43" s="99"/>
    </row>
    <row r="44" spans="1:12" x14ac:dyDescent="0.35">
      <c r="A44" s="135"/>
      <c r="B44" t="s">
        <v>46</v>
      </c>
      <c r="C44" s="147">
        <f>SROI!C49</f>
        <v>517.03236909983195</v>
      </c>
      <c r="D44" s="134"/>
      <c r="E44" t="s">
        <v>47</v>
      </c>
      <c r="F44" s="58">
        <f>SUM(SROI!D37:M37)</f>
        <v>395.93982240713621</v>
      </c>
      <c r="G44" s="58">
        <f>SUM(SROI!E73:N73)</f>
        <v>313.20261690197975</v>
      </c>
      <c r="H44" s="98"/>
      <c r="I44" s="98"/>
      <c r="J44" s="98"/>
      <c r="K44" s="98"/>
      <c r="L44" s="99"/>
    </row>
    <row r="45" spans="1:12" x14ac:dyDescent="0.35">
      <c r="A45" s="135"/>
      <c r="B45" t="s">
        <v>48</v>
      </c>
      <c r="C45" s="147">
        <f>SROI!C87</f>
        <v>403.76310777331884</v>
      </c>
      <c r="D45" s="134"/>
      <c r="E45" t="s">
        <v>49</v>
      </c>
      <c r="F45" s="58">
        <f>SUM(SROI!D41:M41)</f>
        <v>15.560847113319067</v>
      </c>
      <c r="G45" s="58">
        <f>SUM(SROI!E78:N78)</f>
        <v>11.669214554085045</v>
      </c>
      <c r="H45" s="98"/>
      <c r="I45" s="98"/>
      <c r="J45" s="98"/>
      <c r="K45" s="98"/>
      <c r="L45" s="99"/>
    </row>
    <row r="46" spans="1:12" x14ac:dyDescent="0.35">
      <c r="A46" s="135"/>
      <c r="B46" t="s">
        <v>50</v>
      </c>
      <c r="C46" s="147">
        <f>SROI!B113</f>
        <v>441.83158990926262</v>
      </c>
      <c r="D46" s="134"/>
      <c r="E46" s="8" t="s">
        <v>40</v>
      </c>
      <c r="F46" s="58">
        <f>SUM(SROI!D46:M46)</f>
        <v>70.74679024441204</v>
      </c>
      <c r="G46" s="58">
        <f>SUM(SROI!E84:N84)</f>
        <v>31.719006373153046</v>
      </c>
      <c r="H46" s="98"/>
      <c r="I46" s="98"/>
      <c r="J46" s="98"/>
      <c r="K46" s="98"/>
      <c r="L46" s="99"/>
    </row>
    <row r="47" spans="1:12" x14ac:dyDescent="0.35">
      <c r="A47" s="132"/>
      <c r="B47" t="s">
        <v>51</v>
      </c>
      <c r="C47" s="147">
        <f>SROI!B108</f>
        <v>111.2648220697326</v>
      </c>
      <c r="D47" s="98"/>
      <c r="F47" s="58">
        <f>SUM(F44:F46)</f>
        <v>482.24745976486736</v>
      </c>
      <c r="G47" s="58">
        <f>SUM(G44:G46)</f>
        <v>356.59083782921783</v>
      </c>
      <c r="H47" s="98"/>
      <c r="I47" s="98"/>
      <c r="J47" s="98"/>
      <c r="K47" s="98"/>
      <c r="L47" s="99"/>
    </row>
    <row r="48" spans="1:12" x14ac:dyDescent="0.35">
      <c r="A48" s="132"/>
      <c r="B48" s="133" t="s">
        <v>52</v>
      </c>
      <c r="C48" s="310">
        <f>C46-C47</f>
        <v>330.56676783953003</v>
      </c>
      <c r="D48" s="98"/>
      <c r="E48" s="98"/>
      <c r="F48" s="98"/>
      <c r="G48" s="98"/>
      <c r="H48" s="98"/>
      <c r="I48" s="98"/>
      <c r="J48" s="98"/>
      <c r="K48" s="98"/>
      <c r="L48" s="99"/>
    </row>
    <row r="49" spans="1:12" x14ac:dyDescent="0.35">
      <c r="A49" s="100"/>
      <c r="B49" s="101"/>
      <c r="C49" s="102"/>
      <c r="D49" s="98"/>
      <c r="E49" s="98"/>
      <c r="F49" s="98"/>
      <c r="G49" s="98"/>
      <c r="H49" s="98"/>
      <c r="I49" s="98"/>
      <c r="J49" s="98"/>
      <c r="K49" s="98"/>
      <c r="L49" s="99"/>
    </row>
    <row r="50" spans="1:12" x14ac:dyDescent="0.35">
      <c r="A50" s="100"/>
      <c r="B50" s="101"/>
      <c r="C50" s="102"/>
      <c r="D50" s="98"/>
      <c r="E50" s="98"/>
      <c r="F50" s="98"/>
      <c r="G50" s="98"/>
      <c r="H50" s="98"/>
      <c r="J50" s="98"/>
      <c r="K50" s="98"/>
      <c r="L50" s="99"/>
    </row>
    <row r="51" spans="1:12" x14ac:dyDescent="0.35">
      <c r="A51" s="100"/>
      <c r="B51" s="101"/>
      <c r="C51" s="102"/>
      <c r="D51" s="98"/>
      <c r="E51" s="98"/>
      <c r="F51" s="98"/>
      <c r="G51" s="98"/>
      <c r="H51" s="98"/>
      <c r="I51" s="98"/>
      <c r="J51" s="98"/>
      <c r="K51" s="98"/>
      <c r="L51" s="99"/>
    </row>
    <row r="52" spans="1:12" x14ac:dyDescent="0.35">
      <c r="A52" s="100"/>
      <c r="B52" s="101"/>
      <c r="C52" s="102"/>
      <c r="D52" s="98"/>
      <c r="E52" s="98"/>
      <c r="F52" s="98"/>
      <c r="G52" s="98"/>
      <c r="H52" s="98"/>
      <c r="I52" s="98"/>
      <c r="J52" s="98"/>
      <c r="K52" s="98"/>
      <c r="L52" s="99"/>
    </row>
    <row r="53" spans="1:12" x14ac:dyDescent="0.35">
      <c r="A53" s="100"/>
      <c r="B53" s="101"/>
      <c r="C53" s="102"/>
      <c r="D53" s="98"/>
      <c r="E53" s="98"/>
      <c r="F53" s="98"/>
      <c r="G53" s="98"/>
      <c r="H53" s="98"/>
      <c r="I53" s="98"/>
      <c r="J53" s="98"/>
      <c r="K53" s="98"/>
      <c r="L53" s="99"/>
    </row>
    <row r="54" spans="1:12" x14ac:dyDescent="0.35">
      <c r="A54" s="100"/>
      <c r="B54" s="101"/>
      <c r="C54" s="102"/>
      <c r="D54" s="98"/>
      <c r="E54" s="98"/>
      <c r="F54" s="98"/>
      <c r="G54" s="98"/>
      <c r="H54" s="98"/>
      <c r="I54" s="98"/>
      <c r="J54" s="98"/>
      <c r="K54" s="98"/>
      <c r="L54" s="99"/>
    </row>
    <row r="55" spans="1:12" x14ac:dyDescent="0.35">
      <c r="A55" s="100"/>
      <c r="B55" s="101"/>
      <c r="C55" s="102"/>
      <c r="D55" s="98"/>
      <c r="E55" s="98"/>
      <c r="F55" s="98"/>
      <c r="G55" s="98"/>
      <c r="H55" s="98"/>
      <c r="I55" s="98"/>
      <c r="J55" s="98"/>
      <c r="K55" s="98"/>
      <c r="L55" s="99"/>
    </row>
    <row r="56" spans="1:12" x14ac:dyDescent="0.35">
      <c r="A56" s="100"/>
      <c r="B56" s="101"/>
      <c r="C56" s="102"/>
      <c r="D56" s="98"/>
      <c r="E56" s="98"/>
      <c r="F56" s="98"/>
      <c r="G56" s="98"/>
      <c r="H56" s="98"/>
      <c r="I56" s="98"/>
      <c r="J56" s="98"/>
      <c r="K56" s="98"/>
      <c r="L56" s="99"/>
    </row>
    <row r="57" spans="1:12" x14ac:dyDescent="0.35">
      <c r="A57" s="100"/>
      <c r="B57" s="101"/>
      <c r="C57" s="102"/>
      <c r="D57" s="98"/>
      <c r="E57" s="98"/>
      <c r="F57" s="98"/>
      <c r="G57" s="98"/>
      <c r="H57" s="98"/>
      <c r="I57" s="98"/>
      <c r="J57" s="98"/>
      <c r="K57" s="98"/>
      <c r="L57" s="99"/>
    </row>
    <row r="58" spans="1:12" x14ac:dyDescent="0.35">
      <c r="A58" s="100"/>
      <c r="B58" s="101"/>
      <c r="C58" s="102"/>
      <c r="D58" s="98"/>
      <c r="E58" s="98"/>
      <c r="F58" s="98"/>
      <c r="G58" s="98"/>
      <c r="H58" s="98"/>
      <c r="I58" s="98"/>
      <c r="J58" s="98"/>
      <c r="K58" s="98"/>
      <c r="L58" s="99"/>
    </row>
    <row r="59" spans="1:12" x14ac:dyDescent="0.35">
      <c r="A59" s="100"/>
      <c r="B59" s="101"/>
      <c r="C59" s="102"/>
      <c r="D59" s="98"/>
      <c r="E59" s="98"/>
      <c r="F59" s="98"/>
      <c r="G59" s="98"/>
      <c r="H59" s="98"/>
      <c r="I59" s="98"/>
      <c r="J59" s="98"/>
      <c r="K59" s="98"/>
      <c r="L59" s="99"/>
    </row>
    <row r="60" spans="1:12" x14ac:dyDescent="0.35">
      <c r="A60" s="100"/>
      <c r="B60" s="101"/>
      <c r="C60" s="102"/>
      <c r="D60" s="98"/>
      <c r="E60" s="98"/>
      <c r="F60" s="98"/>
      <c r="G60" s="98"/>
      <c r="H60" s="98"/>
      <c r="I60" s="98"/>
      <c r="J60" s="98"/>
      <c r="K60" s="98"/>
      <c r="L60" s="99"/>
    </row>
    <row r="61" spans="1:12" x14ac:dyDescent="0.35">
      <c r="A61" s="100"/>
      <c r="B61" s="101"/>
      <c r="C61" s="102"/>
      <c r="D61" s="98"/>
      <c r="E61" s="98"/>
      <c r="F61" s="98"/>
      <c r="G61" s="98"/>
      <c r="H61" s="98"/>
      <c r="I61" s="98"/>
      <c r="J61" s="98"/>
      <c r="K61" s="98"/>
      <c r="L61" s="99"/>
    </row>
    <row r="62" spans="1:12" ht="18" x14ac:dyDescent="0.4">
      <c r="A62" s="388"/>
      <c r="B62" s="148" t="s">
        <v>53</v>
      </c>
      <c r="C62" s="136" t="s">
        <v>54</v>
      </c>
      <c r="D62" s="137">
        <f>SROI!B111</f>
        <v>4309981.8288161987</v>
      </c>
      <c r="E62" s="98"/>
      <c r="F62" s="98"/>
      <c r="G62" s="98"/>
      <c r="H62" s="98"/>
      <c r="I62" s="98"/>
      <c r="J62" s="98"/>
      <c r="K62" s="98"/>
      <c r="L62" s="99"/>
    </row>
    <row r="63" spans="1:12" ht="18" x14ac:dyDescent="0.4">
      <c r="A63" s="388"/>
      <c r="B63" s="148" t="s">
        <v>55</v>
      </c>
      <c r="C63" s="136" t="s">
        <v>54</v>
      </c>
      <c r="D63" s="137">
        <f>SROI!B112</f>
        <v>6648767.0957032405</v>
      </c>
      <c r="E63" s="98"/>
      <c r="F63" s="98"/>
      <c r="G63" s="98"/>
      <c r="H63" s="98"/>
      <c r="I63" s="98"/>
      <c r="J63" s="98"/>
      <c r="K63" s="98"/>
      <c r="L63" s="99"/>
    </row>
    <row r="64" spans="1:12" ht="18" x14ac:dyDescent="0.4">
      <c r="A64" s="388"/>
      <c r="B64" s="389" t="s">
        <v>56</v>
      </c>
      <c r="C64" s="136" t="s">
        <v>57</v>
      </c>
      <c r="D64" s="137">
        <f>SROI!B107</f>
        <v>2759701.3817955777</v>
      </c>
      <c r="E64" s="98"/>
      <c r="F64" s="98"/>
      <c r="G64" s="98"/>
      <c r="H64" s="98"/>
      <c r="I64" s="98"/>
      <c r="J64" s="98"/>
      <c r="K64" s="98"/>
      <c r="L64" s="99"/>
    </row>
    <row r="65" spans="1:12" ht="18" x14ac:dyDescent="0.4">
      <c r="A65" s="388"/>
      <c r="B65" s="389"/>
      <c r="C65" s="136" t="s">
        <v>54</v>
      </c>
      <c r="D65" s="137">
        <f>SROI!B115</f>
        <v>10958748.92451944</v>
      </c>
      <c r="E65" s="98"/>
      <c r="F65" s="98"/>
      <c r="G65" s="98"/>
      <c r="H65" s="98"/>
      <c r="I65" s="98"/>
      <c r="J65" s="98"/>
      <c r="K65" s="98"/>
      <c r="L65" s="99"/>
    </row>
    <row r="66" spans="1:12" ht="18" x14ac:dyDescent="0.4">
      <c r="A66" s="388"/>
      <c r="B66" s="389"/>
      <c r="C66" s="136" t="s">
        <v>58</v>
      </c>
      <c r="D66" s="137">
        <f>SROI!B116</f>
        <v>8199047.5427238625</v>
      </c>
      <c r="E66" s="98"/>
      <c r="F66" s="98"/>
      <c r="G66" s="98"/>
      <c r="H66" s="98"/>
      <c r="I66" s="98"/>
      <c r="J66" s="98"/>
      <c r="K66" s="98"/>
      <c r="L66" s="99"/>
    </row>
    <row r="67" spans="1:12" x14ac:dyDescent="0.35">
      <c r="A67" s="100"/>
      <c r="B67" s="101"/>
      <c r="C67" s="102"/>
      <c r="D67" s="98"/>
      <c r="E67" s="98"/>
      <c r="F67" s="98"/>
      <c r="G67" s="98"/>
      <c r="H67" s="98"/>
      <c r="I67" s="98"/>
      <c r="J67" s="98"/>
      <c r="K67" s="98"/>
      <c r="L67" s="99"/>
    </row>
    <row r="68" spans="1:12" x14ac:dyDescent="0.35">
      <c r="A68" s="100"/>
      <c r="B68" s="101"/>
      <c r="C68" s="102"/>
      <c r="D68" s="98"/>
      <c r="E68" s="98"/>
      <c r="F68" s="98"/>
      <c r="G68" s="98"/>
      <c r="H68" s="98"/>
      <c r="I68" s="98"/>
      <c r="J68" s="98"/>
      <c r="K68" s="98"/>
      <c r="L68" s="99"/>
    </row>
    <row r="69" spans="1:12" x14ac:dyDescent="0.35">
      <c r="A69" s="100"/>
      <c r="B69" s="101"/>
      <c r="C69" s="102"/>
      <c r="D69" s="98"/>
      <c r="E69" s="98"/>
      <c r="F69" s="98"/>
      <c r="G69" s="98"/>
      <c r="H69" s="98"/>
      <c r="I69" s="98"/>
      <c r="J69" s="98"/>
      <c r="K69" s="98"/>
      <c r="L69" s="99"/>
    </row>
    <row r="70" spans="1:12" x14ac:dyDescent="0.35">
      <c r="A70" s="100"/>
      <c r="B70" s="101"/>
      <c r="C70" s="102"/>
      <c r="D70" s="98"/>
      <c r="E70" s="98"/>
      <c r="F70" s="98"/>
      <c r="G70" s="98"/>
      <c r="H70" s="98"/>
      <c r="I70" s="98"/>
      <c r="J70" s="98"/>
      <c r="K70" s="98"/>
      <c r="L70" s="99"/>
    </row>
    <row r="71" spans="1:12" x14ac:dyDescent="0.35">
      <c r="A71" s="100"/>
      <c r="B71" s="101"/>
      <c r="C71" s="102"/>
      <c r="D71" s="98"/>
      <c r="E71" s="98"/>
      <c r="F71" s="98"/>
      <c r="G71" s="98"/>
      <c r="H71" s="98"/>
      <c r="I71" s="98"/>
      <c r="J71" s="98"/>
      <c r="K71" s="98"/>
      <c r="L71" s="99"/>
    </row>
    <row r="72" spans="1:12" x14ac:dyDescent="0.35">
      <c r="A72" s="100"/>
      <c r="B72" s="101"/>
      <c r="C72" s="102"/>
      <c r="D72" s="98"/>
      <c r="E72" s="98"/>
      <c r="F72" s="98"/>
      <c r="G72" s="98"/>
      <c r="H72" s="98"/>
      <c r="I72" s="98"/>
      <c r="J72" s="98"/>
      <c r="K72" s="98"/>
      <c r="L72" s="99"/>
    </row>
    <row r="73" spans="1:12" x14ac:dyDescent="0.35">
      <c r="A73" s="100"/>
      <c r="B73" s="101"/>
      <c r="C73" s="102"/>
      <c r="D73" s="98"/>
      <c r="E73" s="98"/>
      <c r="F73" s="98"/>
      <c r="G73" s="98"/>
      <c r="H73" s="98"/>
      <c r="I73" s="98"/>
      <c r="J73" s="98"/>
      <c r="K73" s="98"/>
      <c r="L73" s="99"/>
    </row>
    <row r="74" spans="1:12" x14ac:dyDescent="0.35">
      <c r="A74" s="100"/>
      <c r="B74" s="101"/>
      <c r="C74" s="102"/>
      <c r="D74" s="98"/>
      <c r="E74" s="98"/>
      <c r="F74" s="98"/>
      <c r="G74" s="98"/>
      <c r="H74" s="98"/>
      <c r="I74" s="98"/>
      <c r="J74" s="98"/>
      <c r="K74" s="98"/>
      <c r="L74" s="99"/>
    </row>
    <row r="75" spans="1:12" x14ac:dyDescent="0.35">
      <c r="A75" s="100"/>
      <c r="B75" s="101"/>
      <c r="C75" s="102"/>
      <c r="D75" s="98"/>
      <c r="E75" s="98"/>
      <c r="F75" s="98"/>
      <c r="G75" s="98"/>
      <c r="H75" s="98"/>
      <c r="I75" s="98"/>
      <c r="J75" s="98"/>
      <c r="K75" s="98"/>
      <c r="L75" s="99"/>
    </row>
    <row r="76" spans="1:12" x14ac:dyDescent="0.35">
      <c r="A76" s="100"/>
      <c r="B76" s="101"/>
      <c r="C76" s="102"/>
      <c r="D76" s="98"/>
      <c r="E76" s="98"/>
      <c r="F76" s="98"/>
      <c r="G76" s="98"/>
      <c r="H76" s="98"/>
      <c r="I76" s="98"/>
      <c r="J76" s="98"/>
      <c r="K76" s="98"/>
      <c r="L76" s="99"/>
    </row>
    <row r="77" spans="1:12" x14ac:dyDescent="0.35">
      <c r="A77" s="100"/>
      <c r="B77" s="101"/>
      <c r="C77" s="102"/>
      <c r="D77" s="98"/>
      <c r="E77" s="98"/>
      <c r="F77" s="98"/>
      <c r="G77" s="98"/>
      <c r="H77" s="98"/>
      <c r="I77" s="98"/>
      <c r="J77" s="98"/>
      <c r="K77" s="98"/>
      <c r="L77" s="99"/>
    </row>
    <row r="78" spans="1:12" x14ac:dyDescent="0.35">
      <c r="A78" s="100"/>
      <c r="B78" s="101"/>
      <c r="C78" s="102"/>
      <c r="D78" s="98"/>
      <c r="E78" s="98"/>
      <c r="F78" s="98"/>
      <c r="G78" s="98"/>
      <c r="H78" s="98"/>
      <c r="I78" s="98"/>
      <c r="J78" s="98"/>
      <c r="K78" s="98"/>
      <c r="L78" s="99"/>
    </row>
    <row r="79" spans="1:12" x14ac:dyDescent="0.35">
      <c r="A79" s="100"/>
      <c r="B79" s="101"/>
      <c r="C79" s="102"/>
      <c r="D79" s="98"/>
      <c r="E79" s="98"/>
      <c r="F79" s="98"/>
      <c r="G79" s="98"/>
      <c r="H79" s="98"/>
      <c r="I79" s="98"/>
      <c r="J79" s="98"/>
      <c r="K79" s="98"/>
      <c r="L79" s="99"/>
    </row>
    <row r="80" spans="1:12" ht="32.65" customHeight="1" x14ac:dyDescent="0.35">
      <c r="A80" s="138"/>
      <c r="B80" s="34" t="s">
        <v>230</v>
      </c>
      <c r="C80" s="139"/>
      <c r="D80" s="140"/>
      <c r="E80" s="140"/>
      <c r="F80" s="140"/>
      <c r="G80" s="140"/>
      <c r="H80" s="140"/>
      <c r="I80" s="140"/>
      <c r="J80" s="140"/>
      <c r="K80" s="140"/>
      <c r="L80" s="141"/>
    </row>
  </sheetData>
  <mergeCells count="6">
    <mergeCell ref="A64:A66"/>
    <mergeCell ref="B64:B66"/>
    <mergeCell ref="A62:A63"/>
    <mergeCell ref="C36:K36"/>
    <mergeCell ref="C37:K37"/>
    <mergeCell ref="C38:K38"/>
  </mergeCells>
  <conditionalFormatting sqref="C22">
    <cfRule type="cellIs" dxfId="21" priority="5" operator="equal">
      <formula>"High"</formula>
    </cfRule>
    <cfRule type="cellIs" dxfId="20" priority="6" operator="equal">
      <formula>"Medium"</formula>
    </cfRule>
    <cfRule type="cellIs" dxfId="19" priority="7" operator="equal">
      <formula>"Low"</formula>
    </cfRule>
  </conditionalFormatting>
  <conditionalFormatting sqref="C32">
    <cfRule type="cellIs" dxfId="18" priority="2" operator="equal">
      <formula>"Excellent"</formula>
    </cfRule>
    <cfRule type="cellIs" dxfId="17" priority="3" operator="equal">
      <formula>"Good"</formula>
    </cfRule>
    <cfRule type="cellIs" dxfId="16" priority="4" operator="equal">
      <formula>"Fair"</formula>
    </cfRule>
  </conditionalFormatting>
  <conditionalFormatting sqref="E46">
    <cfRule type="cellIs" dxfId="15" priority="1" operator="lessThan">
      <formula>0</formula>
    </cfRule>
  </conditionalFormatting>
  <dataValidations count="3">
    <dataValidation type="list" allowBlank="1" showInputMessage="1" showErrorMessage="1" sqref="C21" xr:uid="{4F85D092-DDA5-4847-95E2-39EEF692F66B}">
      <formula1>"Forecast, Semi-Forecast, Evaluative"</formula1>
    </dataValidation>
    <dataValidation type="list" allowBlank="1" showInputMessage="1" showErrorMessage="1" sqref="C32" xr:uid="{B362EACC-6D61-45B9-920C-B148228CB8A8}">
      <formula1>"Fair, Good, Excellent"</formula1>
    </dataValidation>
    <dataValidation type="list" allowBlank="1" showInputMessage="1" showErrorMessage="1" sqref="C22" xr:uid="{0C17DE77-0AB9-4216-8A9B-C7BEF10DA5A6}">
      <formula1>"Low, Medium, High"</formula1>
    </dataValidation>
  </dataValidations>
  <hyperlinks>
    <hyperlink ref="C7" r:id="rId1" xr:uid="{4B36B4F7-8CC0-4C0E-8B5D-F91A36264017}"/>
    <hyperlink ref="D8" r:id="rId2" xr:uid="{00F65DD0-3236-4622-B5E3-0CB7CFE7613F}"/>
    <hyperlink ref="C8" r:id="rId3" xr:uid="{E33E1A1D-97FE-4846-902D-09A54CBA199E}"/>
  </hyperlinks>
  <pageMargins left="0.7" right="0.7" top="0.75" bottom="0.75" header="0.3" footer="0.3"/>
  <pageSetup paperSize="9" scale="49" orientation="portrait" horizontalDpi="1200" verticalDpi="1200"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AE64-E7BA-4BC7-8063-056CA3FE865E}">
  <dimension ref="A1:AE148"/>
  <sheetViews>
    <sheetView showGridLines="0" zoomScale="40" zoomScaleNormal="85" zoomScaleSheetLayoutView="55" workbookViewId="0">
      <selection activeCell="D128" sqref="D128"/>
    </sheetView>
  </sheetViews>
  <sheetFormatPr baseColWidth="10" defaultColWidth="11.453125" defaultRowHeight="14.5" x14ac:dyDescent="0.35"/>
  <cols>
    <col min="1" max="1" width="57.26953125" customWidth="1"/>
    <col min="2" max="2" width="41.26953125" style="88" customWidth="1"/>
    <col min="3" max="3" width="22.26953125" customWidth="1"/>
    <col min="4" max="4" width="19.7265625" customWidth="1"/>
    <col min="5" max="5" width="20" customWidth="1"/>
    <col min="6" max="6" width="31.54296875" customWidth="1"/>
    <col min="7" max="7" width="19.453125" customWidth="1"/>
    <col min="8" max="8" width="21.7265625" customWidth="1"/>
    <col min="9" max="9" width="21" customWidth="1"/>
    <col min="10" max="10" width="19.7265625" customWidth="1"/>
    <col min="11" max="11" width="11.26953125" customWidth="1"/>
    <col min="12" max="12" width="23" customWidth="1"/>
    <col min="13" max="13" width="18.453125" customWidth="1"/>
    <col min="14" max="15" width="15.453125" customWidth="1"/>
    <col min="16" max="16" width="8.26953125" customWidth="1"/>
    <col min="17" max="17" width="11.7265625" customWidth="1"/>
    <col min="18" max="18" width="13.54296875" customWidth="1"/>
    <col min="19" max="19" width="18.26953125" customWidth="1"/>
    <col min="20" max="20" width="17.26953125" customWidth="1"/>
    <col min="21" max="21" width="8.7265625" customWidth="1"/>
    <col min="22" max="23" width="14.7265625" customWidth="1"/>
    <col min="25" max="25" width="12.7265625" customWidth="1"/>
  </cols>
  <sheetData>
    <row r="1" spans="1:31" ht="20.5" x14ac:dyDescent="0.35">
      <c r="A1" s="365" t="s">
        <v>59</v>
      </c>
      <c r="B1" s="366"/>
      <c r="C1" s="225"/>
      <c r="D1" s="225"/>
      <c r="E1" s="226"/>
      <c r="F1" s="226"/>
      <c r="G1" s="226"/>
      <c r="H1" s="226"/>
      <c r="I1" s="226"/>
      <c r="J1" s="226"/>
      <c r="K1" s="226"/>
      <c r="L1" s="227"/>
      <c r="M1" s="225"/>
      <c r="N1" s="225"/>
      <c r="O1" s="225"/>
      <c r="P1" s="225"/>
      <c r="Q1" s="225"/>
      <c r="R1" s="225"/>
      <c r="S1" s="225"/>
      <c r="T1" s="225"/>
      <c r="U1" s="225"/>
      <c r="V1" s="225"/>
      <c r="W1" s="225"/>
      <c r="X1" s="225"/>
      <c r="Y1" s="225"/>
      <c r="Z1" s="225"/>
      <c r="AA1" s="225"/>
      <c r="AB1" s="225"/>
      <c r="AC1" s="228"/>
      <c r="AE1" s="209"/>
    </row>
    <row r="2" spans="1:31" ht="18.5" x14ac:dyDescent="0.45">
      <c r="A2" s="229" t="s">
        <v>60</v>
      </c>
      <c r="AC2" s="209"/>
    </row>
    <row r="3" spans="1:31" ht="18.5" x14ac:dyDescent="0.45">
      <c r="A3" s="229"/>
      <c r="AC3" s="209"/>
    </row>
    <row r="4" spans="1:31" ht="18" x14ac:dyDescent="0.4">
      <c r="A4" s="211" t="s">
        <v>236</v>
      </c>
      <c r="B4" s="230"/>
      <c r="C4" s="67"/>
      <c r="D4" s="66"/>
      <c r="E4" s="65"/>
      <c r="F4" s="65"/>
      <c r="G4" s="65"/>
      <c r="H4" s="65"/>
      <c r="I4" s="65"/>
      <c r="J4" s="65"/>
      <c r="K4" s="65"/>
      <c r="L4" s="65"/>
      <c r="M4" s="65"/>
      <c r="N4" s="65"/>
      <c r="O4" s="65"/>
      <c r="P4" s="65"/>
      <c r="Q4" s="65"/>
      <c r="R4" s="65"/>
      <c r="S4" s="65"/>
      <c r="T4" s="65"/>
      <c r="U4" s="65"/>
      <c r="V4" s="65"/>
      <c r="W4" s="65"/>
      <c r="X4" s="65"/>
      <c r="Y4" s="65"/>
      <c r="Z4" s="230"/>
      <c r="AA4" s="67"/>
      <c r="AB4" s="66"/>
      <c r="AC4" s="231"/>
    </row>
    <row r="5" spans="1:31" x14ac:dyDescent="0.35">
      <c r="A5" s="210"/>
      <c r="G5" s="3"/>
      <c r="H5" s="3"/>
      <c r="I5" s="3"/>
      <c r="J5" s="3"/>
      <c r="K5" s="3"/>
      <c r="M5" s="3"/>
      <c r="AC5" s="209"/>
    </row>
    <row r="6" spans="1:31" ht="23.65" customHeight="1" thickBot="1" x14ac:dyDescent="0.5">
      <c r="A6" s="396" t="s">
        <v>61</v>
      </c>
      <c r="B6" s="395"/>
      <c r="C6" s="395"/>
      <c r="D6" s="395"/>
      <c r="F6" s="395" t="s">
        <v>62</v>
      </c>
      <c r="G6" s="395"/>
      <c r="H6" s="395"/>
      <c r="I6" s="395"/>
      <c r="J6" s="3"/>
      <c r="L6" s="3"/>
      <c r="M6" s="3"/>
      <c r="N6" s="3"/>
      <c r="O6" s="3"/>
      <c r="Q6" s="232" t="s">
        <v>63</v>
      </c>
      <c r="V6" s="232" t="s">
        <v>64</v>
      </c>
      <c r="Y6" s="248" t="s">
        <v>65</v>
      </c>
      <c r="Z6" s="249"/>
      <c r="AC6" s="209"/>
    </row>
    <row r="7" spans="1:31" ht="48" customHeight="1" x14ac:dyDescent="0.35">
      <c r="A7" s="257" t="s">
        <v>66</v>
      </c>
      <c r="B7" s="260" t="s">
        <v>67</v>
      </c>
      <c r="C7" s="261" t="s">
        <v>65</v>
      </c>
      <c r="D7" s="262" t="s">
        <v>68</v>
      </c>
      <c r="E7" s="233"/>
      <c r="F7" s="257" t="s">
        <v>69</v>
      </c>
      <c r="G7" s="261" t="s">
        <v>70</v>
      </c>
      <c r="H7" s="261" t="s">
        <v>71</v>
      </c>
      <c r="I7" s="261" t="s">
        <v>65</v>
      </c>
      <c r="J7" s="262" t="s">
        <v>68</v>
      </c>
      <c r="L7" s="21"/>
      <c r="M7" s="290" t="s">
        <v>53</v>
      </c>
      <c r="N7" s="290" t="s">
        <v>55</v>
      </c>
      <c r="O7" s="290" t="s">
        <v>72</v>
      </c>
      <c r="Q7" s="288" t="s">
        <v>73</v>
      </c>
      <c r="R7" s="258" t="s">
        <v>74</v>
      </c>
      <c r="S7" s="258" t="s">
        <v>75</v>
      </c>
      <c r="T7" s="259" t="s">
        <v>76</v>
      </c>
      <c r="V7" s="282" t="s">
        <v>77</v>
      </c>
      <c r="W7" s="250">
        <v>19.25</v>
      </c>
      <c r="X7" s="251">
        <v>19.25</v>
      </c>
      <c r="Y7" s="255" t="s">
        <v>78</v>
      </c>
      <c r="Z7" s="256" t="s">
        <v>79</v>
      </c>
      <c r="AC7" s="209"/>
    </row>
    <row r="8" spans="1:31" ht="29" x14ac:dyDescent="0.35">
      <c r="A8" s="263" t="s">
        <v>80</v>
      </c>
      <c r="B8" s="189">
        <v>0.6</v>
      </c>
      <c r="C8" s="23" t="s">
        <v>81</v>
      </c>
      <c r="D8" s="264" t="s">
        <v>82</v>
      </c>
      <c r="E8" s="234"/>
      <c r="F8" s="263" t="s">
        <v>80</v>
      </c>
      <c r="G8" s="23">
        <v>0.7</v>
      </c>
      <c r="H8" s="23">
        <v>1.5</v>
      </c>
      <c r="I8" s="23" t="s">
        <v>83</v>
      </c>
      <c r="J8" s="273"/>
      <c r="L8" s="280" t="s">
        <v>84</v>
      </c>
      <c r="M8" s="289">
        <v>6000</v>
      </c>
      <c r="N8" s="289">
        <v>9760</v>
      </c>
      <c r="O8" s="289">
        <f>SUM(M8:N8)</f>
        <v>15760</v>
      </c>
      <c r="Q8" s="415" t="s">
        <v>43</v>
      </c>
      <c r="R8" s="3" t="s">
        <v>85</v>
      </c>
      <c r="S8" s="32">
        <v>1123</v>
      </c>
      <c r="T8" s="33">
        <v>1269</v>
      </c>
      <c r="V8" s="286" t="s">
        <v>86</v>
      </c>
      <c r="W8" s="40">
        <v>73.930000000000007</v>
      </c>
      <c r="X8" s="252">
        <v>73.930000000000007</v>
      </c>
      <c r="Y8" s="255"/>
      <c r="Z8" s="256"/>
      <c r="AC8" s="209"/>
    </row>
    <row r="9" spans="1:31" ht="29.5" thickBot="1" x14ac:dyDescent="0.4">
      <c r="A9" s="263" t="s">
        <v>87</v>
      </c>
      <c r="B9" s="190">
        <f>150*5</f>
        <v>750</v>
      </c>
      <c r="C9" s="36" t="s">
        <v>88</v>
      </c>
      <c r="D9" s="264"/>
      <c r="E9" s="27"/>
      <c r="F9" s="263" t="s">
        <v>87</v>
      </c>
      <c r="G9" s="64">
        <v>974.3</v>
      </c>
      <c r="H9" s="64">
        <v>804.7</v>
      </c>
      <c r="I9" s="36" t="s">
        <v>89</v>
      </c>
      <c r="J9" s="273" t="s">
        <v>68</v>
      </c>
      <c r="K9" t="s">
        <v>82</v>
      </c>
      <c r="L9" s="346" t="s">
        <v>90</v>
      </c>
      <c r="M9" s="345">
        <v>8336</v>
      </c>
      <c r="N9" s="345">
        <v>16467</v>
      </c>
      <c r="O9" s="345">
        <f>SUM(M9:N9)</f>
        <v>24803</v>
      </c>
      <c r="Q9" s="416"/>
      <c r="R9" s="3" t="s">
        <v>91</v>
      </c>
      <c r="S9" s="32">
        <v>785</v>
      </c>
      <c r="T9" s="33">
        <v>1034</v>
      </c>
      <c r="V9" s="287" t="s">
        <v>92</v>
      </c>
      <c r="W9" s="253">
        <v>60.92</v>
      </c>
      <c r="X9" s="254">
        <v>60.92</v>
      </c>
      <c r="Y9" s="255"/>
      <c r="Z9" s="256"/>
      <c r="AC9" s="209"/>
    </row>
    <row r="10" spans="1:31" ht="72.5" x14ac:dyDescent="0.35">
      <c r="A10" s="265" t="s">
        <v>93</v>
      </c>
      <c r="B10" s="191">
        <v>0.34</v>
      </c>
      <c r="C10" s="307" t="s">
        <v>94</v>
      </c>
      <c r="D10" s="266"/>
      <c r="F10" s="265" t="s">
        <v>93</v>
      </c>
      <c r="G10" s="37">
        <v>0.34</v>
      </c>
      <c r="H10" s="37">
        <v>0.34</v>
      </c>
      <c r="I10" s="36" t="s">
        <v>95</v>
      </c>
      <c r="J10" s="274"/>
      <c r="K10" t="s">
        <v>82</v>
      </c>
      <c r="L10" s="281" t="s">
        <v>96</v>
      </c>
      <c r="M10" s="289">
        <v>4916</v>
      </c>
      <c r="N10" s="289">
        <v>10573</v>
      </c>
      <c r="O10" s="289">
        <f>SUM(M10:N10)</f>
        <v>15489</v>
      </c>
      <c r="Q10" s="417"/>
      <c r="R10" s="34" t="s">
        <v>97</v>
      </c>
      <c r="S10" s="31">
        <v>175</v>
      </c>
      <c r="T10" s="283">
        <v>259</v>
      </c>
      <c r="AC10" s="209"/>
    </row>
    <row r="11" spans="1:31" x14ac:dyDescent="0.35">
      <c r="A11" s="267" t="s">
        <v>98</v>
      </c>
      <c r="B11" s="192">
        <v>0.04</v>
      </c>
      <c r="C11" s="6" t="s">
        <v>99</v>
      </c>
      <c r="D11" s="268" t="s">
        <v>82</v>
      </c>
      <c r="F11" s="267" t="s">
        <v>98</v>
      </c>
      <c r="G11" s="38">
        <v>0.04</v>
      </c>
      <c r="H11" s="38">
        <v>0.04</v>
      </c>
      <c r="I11" s="6" t="s">
        <v>99</v>
      </c>
      <c r="J11" s="275"/>
      <c r="L11" s="414" t="s">
        <v>100</v>
      </c>
      <c r="M11" s="414"/>
      <c r="N11" s="414"/>
      <c r="O11" s="414"/>
      <c r="Q11" s="415" t="s">
        <v>44</v>
      </c>
      <c r="R11" s="284" t="s">
        <v>85</v>
      </c>
      <c r="S11" s="35">
        <v>0</v>
      </c>
      <c r="T11" s="285">
        <v>2312</v>
      </c>
      <c r="AC11" s="209"/>
    </row>
    <row r="12" spans="1:31" x14ac:dyDescent="0.35">
      <c r="A12" s="143" t="s">
        <v>101</v>
      </c>
      <c r="B12" s="190">
        <v>1.9</v>
      </c>
      <c r="C12" s="5" t="s">
        <v>102</v>
      </c>
      <c r="D12" s="268" t="s">
        <v>82</v>
      </c>
      <c r="F12" s="267" t="s">
        <v>101</v>
      </c>
      <c r="G12" s="39">
        <v>1.9</v>
      </c>
      <c r="H12" s="39">
        <v>1.9</v>
      </c>
      <c r="I12" s="5" t="s">
        <v>102</v>
      </c>
      <c r="J12" s="275"/>
      <c r="K12" t="s">
        <v>82</v>
      </c>
      <c r="Q12" s="416"/>
      <c r="R12" s="3" t="s">
        <v>91</v>
      </c>
      <c r="S12" s="32">
        <v>0</v>
      </c>
      <c r="T12" s="33">
        <v>1823</v>
      </c>
      <c r="AC12" s="209"/>
    </row>
    <row r="13" spans="1:31" x14ac:dyDescent="0.35">
      <c r="A13" s="143" t="s">
        <v>103</v>
      </c>
      <c r="B13" s="193">
        <v>15</v>
      </c>
      <c r="C13" s="5" t="s">
        <v>104</v>
      </c>
      <c r="D13" s="269" t="s">
        <v>68</v>
      </c>
      <c r="F13" s="143" t="s">
        <v>103</v>
      </c>
      <c r="G13" s="39">
        <v>15</v>
      </c>
      <c r="H13" s="39">
        <v>15</v>
      </c>
      <c r="I13" s="5" t="s">
        <v>104</v>
      </c>
      <c r="J13" s="276" t="s">
        <v>68</v>
      </c>
      <c r="K13" t="s">
        <v>82</v>
      </c>
      <c r="Q13" s="417"/>
      <c r="R13" s="34" t="s">
        <v>97</v>
      </c>
      <c r="S13" s="31">
        <v>0</v>
      </c>
      <c r="T13" s="283">
        <v>458</v>
      </c>
      <c r="AC13" s="209"/>
    </row>
    <row r="14" spans="1:31" ht="27" customHeight="1" thickBot="1" x14ac:dyDescent="0.4">
      <c r="A14" s="144" t="s">
        <v>105</v>
      </c>
      <c r="B14" s="270">
        <v>0.14000000000000001</v>
      </c>
      <c r="C14" s="271" t="s">
        <v>99</v>
      </c>
      <c r="D14" s="272" t="s">
        <v>82</v>
      </c>
      <c r="E14" s="235"/>
      <c r="F14" s="144" t="s">
        <v>105</v>
      </c>
      <c r="G14" s="277">
        <v>0.14000000000000001</v>
      </c>
      <c r="H14" s="277">
        <v>0.14000000000000001</v>
      </c>
      <c r="I14" s="271" t="s">
        <v>99</v>
      </c>
      <c r="J14" s="278"/>
      <c r="AC14" s="209"/>
    </row>
    <row r="15" spans="1:31" x14ac:dyDescent="0.35">
      <c r="A15" s="210"/>
      <c r="E15" s="3"/>
      <c r="AC15" s="209"/>
    </row>
    <row r="16" spans="1:31" ht="13.5" customHeight="1" x14ac:dyDescent="0.35">
      <c r="A16" s="210"/>
      <c r="C16" s="236"/>
      <c r="D16" s="27"/>
      <c r="G16" s="236"/>
      <c r="I16" s="27"/>
      <c r="AC16" s="209"/>
    </row>
    <row r="17" spans="1:29" ht="18" x14ac:dyDescent="0.4">
      <c r="A17" s="211" t="s">
        <v>106</v>
      </c>
      <c r="B17" s="230"/>
      <c r="C17" s="67"/>
      <c r="D17" s="66"/>
      <c r="E17" s="65"/>
      <c r="F17" s="65"/>
      <c r="G17" s="65"/>
      <c r="H17" s="65"/>
      <c r="I17" s="65"/>
      <c r="J17" s="65"/>
      <c r="K17" s="65"/>
      <c r="L17" s="65"/>
      <c r="M17" s="65"/>
      <c r="N17" s="65"/>
      <c r="O17" s="65"/>
      <c r="P17" s="65"/>
      <c r="Q17" s="65"/>
      <c r="R17" s="65"/>
      <c r="S17" s="65"/>
      <c r="T17" s="65"/>
      <c r="U17" s="65"/>
      <c r="V17" s="65"/>
      <c r="W17" s="65"/>
      <c r="X17" s="65"/>
      <c r="Y17" s="65"/>
      <c r="Z17" s="65"/>
      <c r="AA17" s="65"/>
      <c r="AB17" s="65"/>
      <c r="AC17" s="231"/>
    </row>
    <row r="18" spans="1:29" ht="18.5" x14ac:dyDescent="0.45">
      <c r="A18" s="237"/>
      <c r="AC18" s="209"/>
    </row>
    <row r="19" spans="1:29" ht="20.5" x14ac:dyDescent="0.45">
      <c r="A19" s="238" t="s">
        <v>107</v>
      </c>
      <c r="AC19" s="209"/>
    </row>
    <row r="20" spans="1:29" s="3" customFormat="1" ht="21" thickBot="1" x14ac:dyDescent="0.5">
      <c r="A20" s="15" t="s">
        <v>108</v>
      </c>
      <c r="B20" s="188"/>
      <c r="C20" s="16">
        <v>2021</v>
      </c>
      <c r="D20" s="16">
        <v>2022</v>
      </c>
      <c r="E20" s="16">
        <v>2023</v>
      </c>
      <c r="F20" s="16">
        <v>2024</v>
      </c>
      <c r="G20" s="16">
        <v>2025</v>
      </c>
      <c r="H20" s="16">
        <v>2026</v>
      </c>
      <c r="I20" s="16">
        <v>2027</v>
      </c>
      <c r="J20" s="16">
        <v>2028</v>
      </c>
      <c r="K20" s="16">
        <v>2029</v>
      </c>
      <c r="L20" s="16">
        <v>2030</v>
      </c>
      <c r="M20" s="16">
        <v>2031</v>
      </c>
      <c r="N20" s="16">
        <v>2032</v>
      </c>
      <c r="O20"/>
      <c r="P20" s="22" t="s">
        <v>109</v>
      </c>
      <c r="Q20" s="22"/>
      <c r="R20" s="22"/>
      <c r="S20" s="22"/>
      <c r="T20" s="22"/>
      <c r="U20" s="22"/>
      <c r="V20" s="22"/>
      <c r="W20" s="22"/>
      <c r="X20" s="22"/>
      <c r="Y20" s="22"/>
      <c r="Z20" s="22"/>
      <c r="AA20" s="22"/>
      <c r="AC20" s="33"/>
    </row>
    <row r="21" spans="1:29" s="7" customFormat="1" ht="15.5" x14ac:dyDescent="0.35">
      <c r="A21" s="412" t="s">
        <v>45</v>
      </c>
      <c r="B21" s="194" t="s">
        <v>110</v>
      </c>
      <c r="C21" s="13" t="s">
        <v>111</v>
      </c>
      <c r="D21" s="321">
        <v>0.34</v>
      </c>
      <c r="E21" s="321">
        <f>D21</f>
        <v>0.34</v>
      </c>
      <c r="F21" s="322">
        <f>E21-E21*0.073</f>
        <v>0.31518000000000002</v>
      </c>
      <c r="G21" s="322">
        <f t="shared" ref="G21:M21" si="0">F21-F21*0.073</f>
        <v>0.29217186000000001</v>
      </c>
      <c r="H21" s="322">
        <f t="shared" si="0"/>
        <v>0.27084331422000002</v>
      </c>
      <c r="I21" s="322">
        <f t="shared" si="0"/>
        <v>0.25107175228194001</v>
      </c>
      <c r="J21" s="322">
        <f t="shared" si="0"/>
        <v>0.23274351436535839</v>
      </c>
      <c r="K21" s="322">
        <f t="shared" si="0"/>
        <v>0.21575323781668723</v>
      </c>
      <c r="L21" s="322">
        <f t="shared" si="0"/>
        <v>0.20000325145606906</v>
      </c>
      <c r="M21" s="322">
        <f t="shared" si="0"/>
        <v>0.18540301409977603</v>
      </c>
      <c r="N21" s="45"/>
      <c r="O21"/>
      <c r="P21" s="21"/>
      <c r="Q21" s="17">
        <v>2021</v>
      </c>
      <c r="R21" s="17">
        <v>2022</v>
      </c>
      <c r="S21" s="17">
        <v>2023</v>
      </c>
      <c r="T21" s="17">
        <v>2024</v>
      </c>
      <c r="U21" s="17">
        <v>2025</v>
      </c>
      <c r="V21" s="17">
        <v>2026</v>
      </c>
      <c r="W21" s="17">
        <v>2027</v>
      </c>
      <c r="X21" s="17">
        <v>2028</v>
      </c>
      <c r="Y21" s="17">
        <v>2029</v>
      </c>
      <c r="Z21" s="17">
        <v>2030</v>
      </c>
      <c r="AA21" s="17">
        <v>2031</v>
      </c>
      <c r="AC21" s="247"/>
    </row>
    <row r="22" spans="1:29" s="7" customFormat="1" x14ac:dyDescent="0.35">
      <c r="A22" s="413"/>
      <c r="B22" s="165" t="s">
        <v>112</v>
      </c>
      <c r="C22" s="42" t="s">
        <v>111</v>
      </c>
      <c r="D22" s="77">
        <f>D21*$B$9*$B$8*Assumptions!$C$28</f>
        <v>15.3</v>
      </c>
      <c r="E22" s="77">
        <f>E21*$B$9*$B$8*Assumptions!$C$28</f>
        <v>15.3</v>
      </c>
      <c r="F22" s="323">
        <f>F21*$B$9*$B$8*Assumptions!$C$28</f>
        <v>14.183100000000003</v>
      </c>
      <c r="G22" s="323">
        <f>G21*$B$9*$B$8*Assumptions!$C$28</f>
        <v>13.147733700000002</v>
      </c>
      <c r="H22" s="323">
        <f>H21*$B$9*$B$8*Assumptions!$C$28</f>
        <v>12.187949139900001</v>
      </c>
      <c r="I22" s="323">
        <f>I21*$B$9*$B$8*Assumptions!$C$28</f>
        <v>11.298228852687302</v>
      </c>
      <c r="J22" s="323">
        <f>J21*$B$9*$B$8*Assumptions!$C$28</f>
        <v>10.473458146441128</v>
      </c>
      <c r="K22" s="323">
        <f>K21*$B$9*$B$8*Assumptions!$C$28</f>
        <v>9.7088957017509259</v>
      </c>
      <c r="L22" s="323">
        <f>L21*$B$9*$B$8*Assumptions!$C$28</f>
        <v>9.0001463155231072</v>
      </c>
      <c r="M22" s="323">
        <f>M21*$B$9*$B$8*Assumptions!$C$28</f>
        <v>8.3431356344899221</v>
      </c>
      <c r="N22" s="46"/>
      <c r="O22"/>
      <c r="P22" s="12" t="s">
        <v>113</v>
      </c>
      <c r="Q22" s="12"/>
      <c r="R22" s="18">
        <f t="shared" ref="R22:AA22" si="1">D31</f>
        <v>43.068799999999996</v>
      </c>
      <c r="S22" s="18">
        <f t="shared" si="1"/>
        <v>53.392000000000003</v>
      </c>
      <c r="T22" s="18">
        <f t="shared" si="1"/>
        <v>54.092999999999996</v>
      </c>
      <c r="U22" s="18">
        <f t="shared" si="1"/>
        <v>46.483683596999995</v>
      </c>
      <c r="V22" s="18">
        <f t="shared" si="1"/>
        <v>39.944777341726407</v>
      </c>
      <c r="W22" s="18">
        <f t="shared" si="1"/>
        <v>34.325705568288413</v>
      </c>
      <c r="X22" s="18">
        <f t="shared" si="1"/>
        <v>29.497074240291713</v>
      </c>
      <c r="Y22" s="18">
        <f t="shared" si="1"/>
        <v>25.347691309835636</v>
      </c>
      <c r="Z22" s="18">
        <f t="shared" si="1"/>
        <v>21.78200622558975</v>
      </c>
      <c r="AA22" s="18">
        <f t="shared" si="1"/>
        <v>18.717909627829815</v>
      </c>
      <c r="AC22" s="247"/>
    </row>
    <row r="23" spans="1:29" s="7" customFormat="1" x14ac:dyDescent="0.35">
      <c r="A23" s="413"/>
      <c r="B23" s="165" t="s">
        <v>114</v>
      </c>
      <c r="C23" s="42" t="s">
        <v>111</v>
      </c>
      <c r="D23" s="43">
        <f>D22/Assumptions!$C$15</f>
        <v>0.30599999999999999</v>
      </c>
      <c r="E23" s="43">
        <f>E22/Assumptions!$C$15</f>
        <v>0.30599999999999999</v>
      </c>
      <c r="F23" s="43">
        <f>F22/Assumptions!$C$15</f>
        <v>0.28366200000000008</v>
      </c>
      <c r="G23" s="43">
        <f>G22/Assumptions!$C$15</f>
        <v>0.26295467400000005</v>
      </c>
      <c r="H23" s="43">
        <f>H22/Assumptions!$C$15</f>
        <v>0.24375898279800001</v>
      </c>
      <c r="I23" s="43">
        <f>I22/Assumptions!$C$15</f>
        <v>0.22596457705374604</v>
      </c>
      <c r="J23" s="43">
        <f>J22/Assumptions!$C$15</f>
        <v>0.20946916292882256</v>
      </c>
      <c r="K23" s="43">
        <f>K22/Assumptions!$C$15</f>
        <v>0.19417791403501852</v>
      </c>
      <c r="L23" s="43">
        <f>L22/Assumptions!$C$15</f>
        <v>0.18000292631046214</v>
      </c>
      <c r="M23" s="43">
        <f>M22/Assumptions!$C$15</f>
        <v>0.16686271268979844</v>
      </c>
      <c r="N23" s="46"/>
      <c r="O23"/>
      <c r="P23" s="12" t="s">
        <v>115</v>
      </c>
      <c r="Q23" s="12"/>
      <c r="R23" s="18">
        <f>Q22</f>
        <v>0</v>
      </c>
      <c r="S23" s="18">
        <f>R22</f>
        <v>43.068799999999996</v>
      </c>
      <c r="T23" s="18">
        <f t="shared" ref="R23:AA24" si="2">S22</f>
        <v>53.392000000000003</v>
      </c>
      <c r="U23" s="18">
        <f t="shared" si="2"/>
        <v>54.092999999999996</v>
      </c>
      <c r="V23" s="18">
        <f t="shared" si="2"/>
        <v>46.483683596999995</v>
      </c>
      <c r="W23" s="18">
        <f t="shared" si="2"/>
        <v>39.944777341726407</v>
      </c>
      <c r="X23" s="18">
        <f t="shared" si="2"/>
        <v>34.325705568288413</v>
      </c>
      <c r="Y23" s="18">
        <f t="shared" si="2"/>
        <v>29.497074240291713</v>
      </c>
      <c r="Z23" s="18">
        <f t="shared" si="2"/>
        <v>25.347691309835636</v>
      </c>
      <c r="AA23" s="18">
        <f t="shared" si="2"/>
        <v>21.78200622558975</v>
      </c>
      <c r="AC23" s="247"/>
    </row>
    <row r="24" spans="1:29" s="7" customFormat="1" x14ac:dyDescent="0.35">
      <c r="A24" s="413"/>
      <c r="B24" s="165" t="s">
        <v>116</v>
      </c>
      <c r="C24" s="42" t="s">
        <v>111</v>
      </c>
      <c r="D24" s="355">
        <f>D23*$B$11*Assumptions!E25</f>
        <v>1.0831081265704436</v>
      </c>
      <c r="E24" s="355">
        <f>E23*$B$11*Assumptions!F25</f>
        <v>1.0205195481981901</v>
      </c>
      <c r="F24" s="355">
        <f>F23*$B$11*Assumptions!G25</f>
        <v>0.94602162117972244</v>
      </c>
      <c r="G24" s="355">
        <f>G23*$B$11*Assumptions!H25</f>
        <v>0.87696204283360257</v>
      </c>
      <c r="H24" s="355">
        <f>H23*$B$11*Assumptions!I25</f>
        <v>0.8129438137067494</v>
      </c>
      <c r="I24" s="355">
        <f>I23*$B$11*Assumptions!J25</f>
        <v>0.75359891530615686</v>
      </c>
      <c r="J24" s="355">
        <f>J23*$B$11*Assumptions!K25</f>
        <v>0.69858619448880743</v>
      </c>
      <c r="K24" s="355">
        <f>K23*$B$11*Assumptions!L25</f>
        <v>0.64758940229112449</v>
      </c>
      <c r="L24" s="355">
        <f>L23*$B$11*Assumptions!M25</f>
        <v>0.60031537592387219</v>
      </c>
      <c r="M24" s="355">
        <f>M23*$B$11*Assumptions!N25</f>
        <v>0.55649235348142967</v>
      </c>
      <c r="N24" s="46"/>
      <c r="O24"/>
      <c r="P24" s="12" t="s">
        <v>117</v>
      </c>
      <c r="Q24" s="12"/>
      <c r="R24" s="18">
        <f t="shared" si="2"/>
        <v>0</v>
      </c>
      <c r="S24" s="18">
        <f t="shared" si="2"/>
        <v>0</v>
      </c>
      <c r="T24" s="18">
        <f t="shared" si="2"/>
        <v>43.068799999999996</v>
      </c>
      <c r="U24" s="18">
        <f t="shared" si="2"/>
        <v>53.392000000000003</v>
      </c>
      <c r="V24" s="18">
        <f t="shared" si="2"/>
        <v>54.092999999999996</v>
      </c>
      <c r="W24" s="18">
        <f t="shared" si="2"/>
        <v>46.483683596999995</v>
      </c>
      <c r="X24" s="18">
        <f t="shared" si="2"/>
        <v>39.944777341726407</v>
      </c>
      <c r="Y24" s="18">
        <f t="shared" si="2"/>
        <v>34.325705568288413</v>
      </c>
      <c r="Z24" s="18">
        <f t="shared" si="2"/>
        <v>29.497074240291713</v>
      </c>
      <c r="AA24" s="18">
        <f t="shared" si="2"/>
        <v>25.347691309835636</v>
      </c>
      <c r="AC24" s="247"/>
    </row>
    <row r="25" spans="1:29" s="7" customFormat="1" ht="29" x14ac:dyDescent="0.35">
      <c r="A25" s="413"/>
      <c r="B25" s="165" t="s">
        <v>118</v>
      </c>
      <c r="C25" s="28" t="s">
        <v>111</v>
      </c>
      <c r="D25" s="355">
        <f>D22*Assumptions!E41</f>
        <v>573.68015178519261</v>
      </c>
      <c r="E25" s="355">
        <f>E22*Assumptions!F41</f>
        <v>269.05351399436967</v>
      </c>
      <c r="F25" s="355">
        <f>F22*Assumptions!G41</f>
        <v>196.80761996736234</v>
      </c>
      <c r="G25" s="355">
        <f>G22*Assumptions!H41</f>
        <v>333.84438117100245</v>
      </c>
      <c r="H25" s="355">
        <f>H22*Assumptions!I41</f>
        <v>309.47374134551927</v>
      </c>
      <c r="I25" s="355">
        <f>I22*Assumptions!J41</f>
        <v>286.88215822729637</v>
      </c>
      <c r="J25" s="355">
        <f>J22*Assumptions!K41</f>
        <v>265.93976067670371</v>
      </c>
      <c r="K25" s="355">
        <f>K22*Assumptions!L41</f>
        <v>246.52615814730436</v>
      </c>
      <c r="L25" s="355">
        <f>L22*Assumptions!M41</f>
        <v>228.52974860255111</v>
      </c>
      <c r="M25" s="355">
        <f>M22*Assumptions!N41</f>
        <v>211.84707695456493</v>
      </c>
      <c r="N25" s="47"/>
      <c r="O25"/>
      <c r="P25" s="12" t="s">
        <v>119</v>
      </c>
      <c r="Q25" s="12"/>
      <c r="R25" s="18">
        <f t="shared" ref="R25:AA30" si="3">Q24</f>
        <v>0</v>
      </c>
      <c r="S25" s="18">
        <f t="shared" si="3"/>
        <v>0</v>
      </c>
      <c r="T25" s="18">
        <f t="shared" si="3"/>
        <v>0</v>
      </c>
      <c r="U25" s="18">
        <f t="shared" si="3"/>
        <v>43.068799999999996</v>
      </c>
      <c r="V25" s="18">
        <f t="shared" si="3"/>
        <v>53.392000000000003</v>
      </c>
      <c r="W25" s="18">
        <f t="shared" si="3"/>
        <v>54.092999999999996</v>
      </c>
      <c r="X25" s="18">
        <f t="shared" si="3"/>
        <v>46.483683596999995</v>
      </c>
      <c r="Y25" s="18">
        <f t="shared" si="3"/>
        <v>39.944777341726407</v>
      </c>
      <c r="Z25" s="18">
        <f t="shared" si="3"/>
        <v>34.325705568288413</v>
      </c>
      <c r="AA25" s="18">
        <f t="shared" si="3"/>
        <v>29.497074240291713</v>
      </c>
      <c r="AC25" s="247"/>
    </row>
    <row r="26" spans="1:29" s="7" customFormat="1" ht="29" x14ac:dyDescent="0.35">
      <c r="A26" s="413"/>
      <c r="B26" s="195" t="s">
        <v>120</v>
      </c>
      <c r="C26" s="327" t="s">
        <v>111</v>
      </c>
      <c r="D26" s="356">
        <f t="shared" ref="D26:M26" si="4">D25-D24</f>
        <v>572.59704365862217</v>
      </c>
      <c r="E26" s="356">
        <f t="shared" si="4"/>
        <v>268.03299444617147</v>
      </c>
      <c r="F26" s="356">
        <f t="shared" si="4"/>
        <v>195.86159834618263</v>
      </c>
      <c r="G26" s="356">
        <f t="shared" si="4"/>
        <v>332.96741912816884</v>
      </c>
      <c r="H26" s="356">
        <f t="shared" si="4"/>
        <v>308.66079753181253</v>
      </c>
      <c r="I26" s="356">
        <f t="shared" si="4"/>
        <v>286.12855931199022</v>
      </c>
      <c r="J26" s="356">
        <f t="shared" si="4"/>
        <v>265.24117448221489</v>
      </c>
      <c r="K26" s="356">
        <f t="shared" si="4"/>
        <v>245.87856874501324</v>
      </c>
      <c r="L26" s="356">
        <f t="shared" si="4"/>
        <v>227.92943322662722</v>
      </c>
      <c r="M26" s="356">
        <f t="shared" si="4"/>
        <v>211.29058460108351</v>
      </c>
      <c r="N26" s="47"/>
      <c r="O26"/>
      <c r="P26" s="12" t="s">
        <v>121</v>
      </c>
      <c r="Q26" s="12"/>
      <c r="R26" s="18">
        <f t="shared" si="3"/>
        <v>0</v>
      </c>
      <c r="S26" s="18">
        <f t="shared" si="3"/>
        <v>0</v>
      </c>
      <c r="T26" s="18">
        <f t="shared" si="3"/>
        <v>0</v>
      </c>
      <c r="U26" s="18">
        <f t="shared" si="3"/>
        <v>0</v>
      </c>
      <c r="V26" s="18">
        <f t="shared" si="3"/>
        <v>43.068799999999996</v>
      </c>
      <c r="W26" s="18">
        <f t="shared" si="3"/>
        <v>53.392000000000003</v>
      </c>
      <c r="X26" s="18">
        <f>W25</f>
        <v>54.092999999999996</v>
      </c>
      <c r="Y26" s="18">
        <f t="shared" si="3"/>
        <v>46.483683596999995</v>
      </c>
      <c r="Z26" s="18">
        <f t="shared" si="3"/>
        <v>39.944777341726407</v>
      </c>
      <c r="AA26" s="18">
        <f t="shared" si="3"/>
        <v>34.325705568288413</v>
      </c>
      <c r="AC26" s="247"/>
    </row>
    <row r="27" spans="1:29" s="7" customFormat="1" ht="29" x14ac:dyDescent="0.35">
      <c r="A27" s="413"/>
      <c r="B27" s="195" t="s">
        <v>122</v>
      </c>
      <c r="C27" s="327" t="s">
        <v>111</v>
      </c>
      <c r="D27" s="356">
        <f>D26/(1+Assumptions!$C$12)^(D$20-2021)</f>
        <v>520.54276696238378</v>
      </c>
      <c r="E27" s="356">
        <f>E26/(1+Assumptions!$C$12)^(E$20-2021)</f>
        <v>221.51487144311687</v>
      </c>
      <c r="F27" s="356">
        <f>F26/(1+Assumptions!$C$12)^(F$20-2021)</f>
        <v>147.15371776572695</v>
      </c>
      <c r="G27" s="356">
        <f>G26/(1+Assumptions!$C$12)^(G$20-2021)</f>
        <v>227.42122746272028</v>
      </c>
      <c r="H27" s="356">
        <f>H26/(1+Assumptions!$C$12)^(H$20-2021)</f>
        <v>191.65407077994698</v>
      </c>
      <c r="I27" s="356">
        <f>I26/(1+Assumptions!$C$12)^(I$20-2021)</f>
        <v>161.5121123754644</v>
      </c>
      <c r="J27" s="356">
        <f>J26/(1+Assumptions!$C$12)^(J$20-2021)</f>
        <v>136.11066197459587</v>
      </c>
      <c r="K27" s="356">
        <f>K26/(1+Assumptions!$C$12)^(K$20-2021)</f>
        <v>114.7041669549549</v>
      </c>
      <c r="L27" s="356">
        <f>L26/(1+Assumptions!$C$12)^(L$20-2021)</f>
        <v>96.664329788402881</v>
      </c>
      <c r="M27" s="356">
        <f>M26/(1+Assumptions!$C$12)^(M$20-2021)</f>
        <v>81.461667012590439</v>
      </c>
      <c r="N27" s="68"/>
      <c r="O27"/>
      <c r="P27" s="12" t="s">
        <v>123</v>
      </c>
      <c r="Q27" s="12"/>
      <c r="R27" s="18">
        <f t="shared" si="3"/>
        <v>0</v>
      </c>
      <c r="S27" s="18">
        <f t="shared" si="3"/>
        <v>0</v>
      </c>
      <c r="T27" s="18">
        <f t="shared" si="3"/>
        <v>0</v>
      </c>
      <c r="U27" s="18">
        <f t="shared" si="3"/>
        <v>0</v>
      </c>
      <c r="V27" s="18">
        <f t="shared" si="3"/>
        <v>0</v>
      </c>
      <c r="W27" s="18">
        <f t="shared" si="3"/>
        <v>43.068799999999996</v>
      </c>
      <c r="X27" s="18">
        <f t="shared" si="3"/>
        <v>53.392000000000003</v>
      </c>
      <c r="Y27" s="18">
        <f t="shared" si="3"/>
        <v>54.092999999999996</v>
      </c>
      <c r="Z27" s="18">
        <f t="shared" si="3"/>
        <v>46.483683596999995</v>
      </c>
      <c r="AA27" s="18">
        <f t="shared" si="3"/>
        <v>39.944777341726407</v>
      </c>
      <c r="AC27" s="247"/>
    </row>
    <row r="28" spans="1:29" s="7" customFormat="1" ht="29.5" thickBot="1" x14ac:dyDescent="0.4">
      <c r="A28" s="413"/>
      <c r="B28" s="336" t="s">
        <v>124</v>
      </c>
      <c r="C28" s="327" t="s">
        <v>111</v>
      </c>
      <c r="D28" s="328">
        <f>D27*Assumptions!$C$54</f>
        <v>9.5363434907508697</v>
      </c>
      <c r="E28" s="328">
        <f>E27*Assumptions!$C$54</f>
        <v>4.0581524448379014</v>
      </c>
      <c r="F28" s="328">
        <f>F27*Assumptions!$C$54</f>
        <v>2.6958561094681177</v>
      </c>
      <c r="G28" s="328">
        <f>G27*Assumptions!$C$54</f>
        <v>4.1663568871170353</v>
      </c>
      <c r="H28" s="328">
        <f>H27*Assumptions!$C$54</f>
        <v>3.5111025766886286</v>
      </c>
      <c r="I28" s="328">
        <f>I27*Assumptions!$C$54</f>
        <v>2.9589018987185076</v>
      </c>
      <c r="J28" s="328">
        <f>J27*Assumptions!$C$54</f>
        <v>2.4935473273745963</v>
      </c>
      <c r="K28" s="328">
        <f>K27*Assumptions!$C$54</f>
        <v>2.1013803386147738</v>
      </c>
      <c r="L28" s="328">
        <f>L27*Assumptions!$C$54</f>
        <v>1.7708905217235407</v>
      </c>
      <c r="M28" s="328">
        <f>M27*Assumptions!$C$54</f>
        <v>1.4923777396706568</v>
      </c>
      <c r="N28" s="68"/>
      <c r="O28"/>
      <c r="P28" s="12" t="s">
        <v>125</v>
      </c>
      <c r="Q28" s="12"/>
      <c r="R28" s="18">
        <f t="shared" si="3"/>
        <v>0</v>
      </c>
      <c r="S28" s="18">
        <f t="shared" si="3"/>
        <v>0</v>
      </c>
      <c r="T28" s="18">
        <f t="shared" si="3"/>
        <v>0</v>
      </c>
      <c r="U28" s="18">
        <f t="shared" si="3"/>
        <v>0</v>
      </c>
      <c r="V28" s="18">
        <f t="shared" si="3"/>
        <v>0</v>
      </c>
      <c r="W28" s="18">
        <f t="shared" si="3"/>
        <v>0</v>
      </c>
      <c r="X28" s="18">
        <f t="shared" si="3"/>
        <v>43.068799999999996</v>
      </c>
      <c r="Y28" s="18">
        <f t="shared" si="3"/>
        <v>53.392000000000003</v>
      </c>
      <c r="Z28" s="18">
        <f t="shared" si="3"/>
        <v>54.092999999999996</v>
      </c>
      <c r="AA28" s="18">
        <f t="shared" si="3"/>
        <v>46.483683596999995</v>
      </c>
      <c r="AC28" s="247"/>
    </row>
    <row r="29" spans="1:29" s="3" customFormat="1" x14ac:dyDescent="0.35">
      <c r="A29" s="397" t="s">
        <v>47</v>
      </c>
      <c r="B29" s="194" t="s">
        <v>126</v>
      </c>
      <c r="C29" s="14" t="s">
        <v>111</v>
      </c>
      <c r="D29" s="76">
        <v>0.313</v>
      </c>
      <c r="E29" s="76">
        <v>0.376</v>
      </c>
      <c r="F29" s="76">
        <v>0.39</v>
      </c>
      <c r="G29" s="78">
        <f>F29-F29*0.073</f>
        <v>0.36153000000000002</v>
      </c>
      <c r="H29" s="78">
        <f>G29-G29*0.073</f>
        <v>0.33513830999999999</v>
      </c>
      <c r="I29" s="78">
        <f t="shared" ref="I29:M29" si="5">H29-H29*0.073</f>
        <v>0.31067321336999998</v>
      </c>
      <c r="J29" s="78">
        <f t="shared" si="5"/>
        <v>0.28799406879398998</v>
      </c>
      <c r="K29" s="78">
        <f t="shared" si="5"/>
        <v>0.26697050177202869</v>
      </c>
      <c r="L29" s="78">
        <f t="shared" si="5"/>
        <v>0.24748165514267059</v>
      </c>
      <c r="M29" s="78">
        <f t="shared" si="5"/>
        <v>0.22941549431725564</v>
      </c>
      <c r="N29" s="50"/>
      <c r="O29"/>
      <c r="P29" s="12" t="s">
        <v>127</v>
      </c>
      <c r="Q29" s="12"/>
      <c r="R29" s="18">
        <f t="shared" ref="R29:AA29" si="6">Q28</f>
        <v>0</v>
      </c>
      <c r="S29" s="18">
        <f t="shared" si="6"/>
        <v>0</v>
      </c>
      <c r="T29" s="18">
        <f t="shared" si="6"/>
        <v>0</v>
      </c>
      <c r="U29" s="18">
        <f t="shared" si="6"/>
        <v>0</v>
      </c>
      <c r="V29" s="18">
        <f t="shared" si="6"/>
        <v>0</v>
      </c>
      <c r="W29" s="18">
        <f t="shared" si="6"/>
        <v>0</v>
      </c>
      <c r="X29" s="18">
        <f t="shared" si="6"/>
        <v>0</v>
      </c>
      <c r="Y29" s="18">
        <f t="shared" si="6"/>
        <v>43.068799999999996</v>
      </c>
      <c r="Z29" s="18">
        <f t="shared" si="6"/>
        <v>53.392000000000003</v>
      </c>
      <c r="AA29" s="18">
        <f t="shared" si="6"/>
        <v>54.092999999999996</v>
      </c>
      <c r="AC29" s="33"/>
    </row>
    <row r="30" spans="1:29" s="3" customFormat="1" x14ac:dyDescent="0.35">
      <c r="A30" s="398"/>
      <c r="B30" s="165" t="s">
        <v>128</v>
      </c>
      <c r="C30" s="9" t="s">
        <v>111</v>
      </c>
      <c r="D30" s="77">
        <v>137.6</v>
      </c>
      <c r="E30" s="77">
        <v>142</v>
      </c>
      <c r="F30" s="77">
        <v>138.69999999999999</v>
      </c>
      <c r="G30" s="79">
        <f>F30-F30*0.073</f>
        <v>128.57489999999999</v>
      </c>
      <c r="H30" s="79">
        <f>G30-G30*0.073</f>
        <v>119.18893229999999</v>
      </c>
      <c r="I30" s="79">
        <f t="shared" ref="I30:M30" si="7">H30-H30*0.073</f>
        <v>110.48814024209999</v>
      </c>
      <c r="J30" s="79">
        <f t="shared" si="7"/>
        <v>102.42250600442669</v>
      </c>
      <c r="K30" s="79">
        <f t="shared" si="7"/>
        <v>94.945663066103549</v>
      </c>
      <c r="L30" s="79">
        <f t="shared" si="7"/>
        <v>88.014629662277997</v>
      </c>
      <c r="M30" s="79">
        <f t="shared" si="7"/>
        <v>81.58956169693171</v>
      </c>
      <c r="N30" s="51"/>
      <c r="O30"/>
      <c r="P30" s="12" t="s">
        <v>129</v>
      </c>
      <c r="Q30" s="12"/>
      <c r="R30" s="18">
        <f t="shared" si="3"/>
        <v>0</v>
      </c>
      <c r="S30" s="18">
        <f t="shared" si="3"/>
        <v>0</v>
      </c>
      <c r="T30" s="18">
        <f t="shared" si="3"/>
        <v>0</v>
      </c>
      <c r="U30" s="18">
        <f t="shared" si="3"/>
        <v>0</v>
      </c>
      <c r="V30" s="18">
        <f t="shared" si="3"/>
        <v>0</v>
      </c>
      <c r="W30" s="18">
        <f t="shared" si="3"/>
        <v>0</v>
      </c>
      <c r="X30" s="18">
        <f>W29</f>
        <v>0</v>
      </c>
      <c r="Y30" s="18">
        <f t="shared" si="3"/>
        <v>0</v>
      </c>
      <c r="Z30" s="18">
        <f>Y29</f>
        <v>43.068799999999996</v>
      </c>
      <c r="AA30" s="18">
        <f>Z29</f>
        <v>53.392000000000003</v>
      </c>
      <c r="AC30" s="33"/>
    </row>
    <row r="31" spans="1:29" s="3" customFormat="1" x14ac:dyDescent="0.35">
      <c r="A31" s="398"/>
      <c r="B31" s="165" t="s">
        <v>130</v>
      </c>
      <c r="C31" s="9" t="s">
        <v>111</v>
      </c>
      <c r="D31" s="10">
        <f>PRODUCT(D29:D30)</f>
        <v>43.068799999999996</v>
      </c>
      <c r="E31" s="10">
        <f t="shared" ref="E31:M31" si="8">PRODUCT(E29:E30)</f>
        <v>53.392000000000003</v>
      </c>
      <c r="F31" s="10">
        <f t="shared" si="8"/>
        <v>54.092999999999996</v>
      </c>
      <c r="G31" s="10">
        <f t="shared" si="8"/>
        <v>46.483683596999995</v>
      </c>
      <c r="H31" s="10">
        <f t="shared" si="8"/>
        <v>39.944777341726407</v>
      </c>
      <c r="I31" s="10">
        <f t="shared" si="8"/>
        <v>34.325705568288413</v>
      </c>
      <c r="J31" s="10">
        <f t="shared" si="8"/>
        <v>29.497074240291713</v>
      </c>
      <c r="K31" s="10">
        <f t="shared" si="8"/>
        <v>25.347691309835636</v>
      </c>
      <c r="L31" s="10">
        <f t="shared" si="8"/>
        <v>21.78200622558975</v>
      </c>
      <c r="M31" s="10">
        <f t="shared" si="8"/>
        <v>18.717909627829815</v>
      </c>
      <c r="N31" s="52"/>
      <c r="O31"/>
      <c r="P31" s="19" t="s">
        <v>131</v>
      </c>
      <c r="Q31" s="19"/>
      <c r="R31" s="20">
        <f>R22*Assumptions!$C$34+R23*Assumptions!$D$34+R24*Assumptions!$E$34+R25*Assumptions!$F$34+R26*Assumptions!$G$34+R27*Assumptions!$H$34+R28*Assumptions!$I$34+R29*Assumptions!$J$34+R30*Assumptions!$K$34</f>
        <v>-47.375680000000003</v>
      </c>
      <c r="S31" s="20">
        <f>S22*Assumptions!$C$34+S23*Assumptions!$D$34+S24*Assumptions!$E$34+S25*Assumptions!$F$34+S26*Assumptions!$G$34+S27*Assumptions!$H$34+S28*Assumptions!$I$34+S29*Assumptions!$J$34+S30*Assumptions!$K$34</f>
        <v>-75.958720000000014</v>
      </c>
      <c r="T31" s="20">
        <f>T22*Assumptions!$C$34+T23*Assumptions!$D$34+T24*Assumptions!$E$34+T25*Assumptions!$F$34+T26*Assumptions!$G$34+T27*Assumptions!$H$34+T28*Assumptions!$I$34+T29*Assumptions!$J$34+T30*Assumptions!$K$34</f>
        <v>-7.6421400000000119</v>
      </c>
      <c r="U31" s="20">
        <f>U22*Assumptions!$C$34+U23*Assumptions!$D$34+U24*Assumptions!$E$34+U25*Assumptions!$F$34+U26*Assumptions!$G$34+U27*Assumptions!$H$34+U28*Assumptions!$I$34+U29*Assumptions!$J$34+U30*Assumptions!$K$34</f>
        <v>104.13474804329999</v>
      </c>
      <c r="V31" s="20">
        <f>V22*Assumptions!$C$34+V23*Assumptions!$D$34+V24*Assumptions!$E$34+V25*Assumptions!$F$34+V26*Assumptions!$G$34+V27*Assumptions!$H$34+V28*Assumptions!$I$34+V29*Assumptions!$J$34+V30*Assumptions!$K$34</f>
        <v>213.73321148530093</v>
      </c>
      <c r="W31" s="20">
        <f>W22*Assumptions!$C$34+W23*Assumptions!$D$34+W24*Assumptions!$E$34+W25*Assumptions!$F$34+W26*Assumptions!$G$34+W27*Assumptions!$H$34+W28*Assumptions!$I$34+W29*Assumptions!$J$34+W30*Assumptions!$K$34</f>
        <v>285.56711505309215</v>
      </c>
      <c r="X31" s="20">
        <f>X22*Assumptions!$C$34+X23*Assumptions!$D$34+X24*Assumptions!$E$34+X25*Assumptions!$F$34+X26*Assumptions!$G$34+X27*Assumptions!$H$34+X28*Assumptions!$I$34+X29*Assumptions!$J$34+X30*Assumptions!$K$34</f>
        <v>320.23534478329861</v>
      </c>
      <c r="Y31" s="20">
        <f>Y22*Assumptions!$C$34+Y23*Assumptions!$D$34+Y24*Assumptions!$E$34+Y25*Assumptions!$F$34+Y26*Assumptions!$G$34+Y27*Assumptions!$H$34+Y28*Assumptions!$I$34+Y29*Assumptions!$J$34+Y30*Assumptions!$K$34</f>
        <v>335.0613344872072</v>
      </c>
      <c r="Z31" s="20">
        <f>Z22*Assumptions!$C$34+Z23*Assumptions!$D$34+Z24*Assumptions!$E$34+Z25*Assumptions!$F$34+Z26*Assumptions!$G$34+Z27*Assumptions!$H$34+Z28*Assumptions!$I$34+Z29*Assumptions!$J$34+Z30*Assumptions!$K$34</f>
        <v>355.79952186419723</v>
      </c>
      <c r="AA31" s="20">
        <f>AA22*Assumptions!$C$34+AA23*Assumptions!$D$34+AA24*Assumptions!$E$34+AA25*Assumptions!$F$34+AA26*Assumptions!$G$34+AA27*Assumptions!$H$34+AA28*Assumptions!$I$34+AA29*Assumptions!$J$34+AA30*Assumptions!$K$34</f>
        <v>330.33811643091877</v>
      </c>
      <c r="AC31" s="33"/>
    </row>
    <row r="32" spans="1:29" s="3" customFormat="1" x14ac:dyDescent="0.35">
      <c r="A32" s="398"/>
      <c r="B32" s="165" t="s">
        <v>112</v>
      </c>
      <c r="C32" s="9" t="s">
        <v>111</v>
      </c>
      <c r="D32" s="11">
        <f t="shared" ref="D32:M32" si="9">R31</f>
        <v>-47.375680000000003</v>
      </c>
      <c r="E32" s="11">
        <f t="shared" si="9"/>
        <v>-75.958720000000014</v>
      </c>
      <c r="F32" s="11">
        <f>T31</f>
        <v>-7.6421400000000119</v>
      </c>
      <c r="G32" s="11">
        <f t="shared" si="9"/>
        <v>104.13474804329999</v>
      </c>
      <c r="H32" s="11">
        <f t="shared" si="9"/>
        <v>213.73321148530093</v>
      </c>
      <c r="I32" s="11">
        <f t="shared" si="9"/>
        <v>285.56711505309215</v>
      </c>
      <c r="J32" s="11">
        <f t="shared" si="9"/>
        <v>320.23534478329861</v>
      </c>
      <c r="K32" s="11">
        <f t="shared" si="9"/>
        <v>335.0613344872072</v>
      </c>
      <c r="L32" s="11">
        <f t="shared" si="9"/>
        <v>355.79952186419723</v>
      </c>
      <c r="M32" s="11">
        <f t="shared" si="9"/>
        <v>330.33811643091877</v>
      </c>
      <c r="N32" s="53"/>
      <c r="O32"/>
      <c r="AC32" s="33"/>
    </row>
    <row r="33" spans="1:29" s="3" customFormat="1" x14ac:dyDescent="0.35">
      <c r="A33" s="398"/>
      <c r="B33" s="165" t="s">
        <v>132</v>
      </c>
      <c r="C33" s="9" t="s">
        <v>111</v>
      </c>
      <c r="D33" s="41">
        <f>(D32/Assumptions!$C$15)+(D31*Assumptions!$C$20)</f>
        <v>-0.51682560000000011</v>
      </c>
      <c r="E33" s="41">
        <f>(E32/Assumptions!$C$15)+(E31*Assumptions!$C$20)</f>
        <v>-0.9852544000000002</v>
      </c>
      <c r="F33" s="41">
        <f>(F32/Assumptions!$C$15)+(F31*Assumptions!$C$20)</f>
        <v>0.38808719999999974</v>
      </c>
      <c r="G33" s="41">
        <f>(G32/Assumptions!$C$15)+(G31*Assumptions!$C$20)</f>
        <v>2.5475317968359996</v>
      </c>
      <c r="H33" s="41">
        <f>(H32/Assumptions!$C$15)+(H31*Assumptions!$C$20)</f>
        <v>4.6741120031232821</v>
      </c>
      <c r="I33" s="41">
        <f>(I32/Assumptions!$C$15)+(I31*Assumptions!$C$20)</f>
        <v>6.0545993567447276</v>
      </c>
      <c r="J33" s="41">
        <f>(J32/Assumptions!$C$15)+(J31*Assumptions!$C$20)</f>
        <v>6.6996776380688896</v>
      </c>
      <c r="K33" s="41">
        <f>(K32/Assumptions!$C$15)+(K31*Assumptions!$C$20)</f>
        <v>6.9547036028424998</v>
      </c>
      <c r="L33" s="41">
        <f>(L32/Assumptions!$C$15)+(L31*Assumptions!$C$20)</f>
        <v>7.3338104995398421</v>
      </c>
      <c r="M33" s="41">
        <f>(M32/Assumptions!$C$15)+(M31*Assumptions!$C$20)</f>
        <v>6.7939414248966736</v>
      </c>
      <c r="N33" s="53"/>
      <c r="O33"/>
      <c r="AC33" s="33"/>
    </row>
    <row r="34" spans="1:29" s="3" customFormat="1" x14ac:dyDescent="0.35">
      <c r="A34" s="398"/>
      <c r="B34" s="165" t="s">
        <v>116</v>
      </c>
      <c r="C34" s="9" t="s">
        <v>111</v>
      </c>
      <c r="D34" s="355">
        <f>D33*$B$11*Assumptions!E25</f>
        <v>-1.8293398933975344</v>
      </c>
      <c r="E34" s="355">
        <f>E33*$B$11*Assumptions!F25</f>
        <v>-3.2858541671512387</v>
      </c>
      <c r="F34" s="355">
        <f>F33*$B$11*Assumptions!G25</f>
        <v>1.2942829215866023</v>
      </c>
      <c r="G34" s="355">
        <f>G33*$B$11*Assumptions!H25</f>
        <v>8.496098033750318</v>
      </c>
      <c r="H34" s="355">
        <f>H33*$B$11*Assumptions!I25</f>
        <v>15.58830937795787</v>
      </c>
      <c r="I34" s="355">
        <f>I33*$B$11*Assumptions!J25</f>
        <v>20.192277777994057</v>
      </c>
      <c r="J34" s="355">
        <f>J33*$B$11*Assumptions!K25</f>
        <v>22.343633974756795</v>
      </c>
      <c r="K34" s="355">
        <f>K33*$B$11*Assumptions!L25</f>
        <v>23.1941535249188</v>
      </c>
      <c r="L34" s="355">
        <f>L33*$B$11*Assumptions!M25</f>
        <v>24.458486854776279</v>
      </c>
      <c r="M34" s="355">
        <f>M33*$B$11*Assumptions!N25</f>
        <v>22.658006645165102</v>
      </c>
      <c r="N34" s="53"/>
      <c r="O34"/>
      <c r="AC34" s="33"/>
    </row>
    <row r="35" spans="1:29" s="3" customFormat="1" ht="29" x14ac:dyDescent="0.35">
      <c r="A35" s="398"/>
      <c r="B35" s="195" t="s">
        <v>120</v>
      </c>
      <c r="C35" s="327" t="s">
        <v>111</v>
      </c>
      <c r="D35" s="356">
        <f>D32*Assumptions!E41-D34</f>
        <v>-1774.5423786246884</v>
      </c>
      <c r="E35" s="356">
        <f>E32*Assumptions!F41-E34</f>
        <v>-1332.4632003762742</v>
      </c>
      <c r="F35" s="356">
        <f>F32*Assumptions!G41-F34</f>
        <v>-107.33819326963325</v>
      </c>
      <c r="G35" s="356">
        <f>G32*Assumptions!H41-G34</f>
        <v>2635.6706695753119</v>
      </c>
      <c r="H35" s="356">
        <f>H32*Assumptions!I41-H34</f>
        <v>5411.4786933558498</v>
      </c>
      <c r="I35" s="356">
        <f>I32*Assumptions!J41-I34</f>
        <v>7230.8655077693356</v>
      </c>
      <c r="J35" s="356">
        <f>J32*Assumptions!K41-J34</f>
        <v>8109.0022654529839</v>
      </c>
      <c r="K35" s="356">
        <f>K32*Assumptions!L41-K34</f>
        <v>8484.610036805765</v>
      </c>
      <c r="L35" s="356">
        <f>L32*Assumptions!M41-L34</f>
        <v>9009.9252258067809</v>
      </c>
      <c r="M35" s="356">
        <f>M32*Assumptions!N41-M34</f>
        <v>8365.215262880718</v>
      </c>
      <c r="N35" s="47"/>
      <c r="O35"/>
      <c r="AC35" s="33"/>
    </row>
    <row r="36" spans="1:29" s="3" customFormat="1" ht="29" x14ac:dyDescent="0.35">
      <c r="A36" s="398"/>
      <c r="B36" s="195" t="s">
        <v>133</v>
      </c>
      <c r="C36" s="327" t="s">
        <v>111</v>
      </c>
      <c r="D36" s="356">
        <f>D35/(1+Assumptions!$C$12)^(D$20-2021)</f>
        <v>-1613.2203442042621</v>
      </c>
      <c r="E36" s="356">
        <f>E35/(1+Assumptions!$C$12)^(E$20-2021)</f>
        <v>-1101.2092565093174</v>
      </c>
      <c r="F36" s="356">
        <f>F35/(1+Assumptions!$C$12)^(F$20-2021)</f>
        <v>-80.64477330550956</v>
      </c>
      <c r="G36" s="356">
        <f>G35/(1+Assumptions!$C$12)^(G$20-2021)</f>
        <v>1800.1985312310028</v>
      </c>
      <c r="H36" s="356">
        <f>H35/(1+Assumptions!$C$12)^(H$20-2021)</f>
        <v>3360.1025099849412</v>
      </c>
      <c r="I36" s="356">
        <f>I35/(1+Assumptions!$C$12)^(I$20-2021)</f>
        <v>4081.6350708608579</v>
      </c>
      <c r="J36" s="356">
        <f>J35/(1+Assumptions!$C$12)^(J$20-2021)</f>
        <v>4161.2003432683887</v>
      </c>
      <c r="K36" s="356">
        <f>K35/(1+Assumptions!$C$12)^(K$20-2021)</f>
        <v>3958.1332003714651</v>
      </c>
      <c r="L36" s="356">
        <f>L35/(1+Assumptions!$C$12)^(L$20-2021)</f>
        <v>3821.0878299788269</v>
      </c>
      <c r="M36" s="356">
        <f>M35/(1+Assumptions!$C$12)^(M$20-2021)</f>
        <v>3225.152609237155</v>
      </c>
      <c r="N36" s="68"/>
      <c r="O36"/>
      <c r="AC36" s="33"/>
    </row>
    <row r="37" spans="1:29" s="3" customFormat="1" ht="29.5" thickBot="1" x14ac:dyDescent="0.4">
      <c r="A37" s="399"/>
      <c r="B37" s="336" t="s">
        <v>124</v>
      </c>
      <c r="C37" s="332" t="s">
        <v>111</v>
      </c>
      <c r="D37" s="328">
        <f>D36*Assumptions!$C$54</f>
        <v>-29.554196705822083</v>
      </c>
      <c r="E37" s="328">
        <f>E36*Assumptions!$C$54</f>
        <v>-20.174153579250692</v>
      </c>
      <c r="F37" s="328">
        <f>F36*Assumptions!$C$54</f>
        <v>-1.4774122469569351</v>
      </c>
      <c r="G37" s="328">
        <f>G36*Assumptions!$C$54</f>
        <v>32.979637092151968</v>
      </c>
      <c r="H37" s="328">
        <f>H36*Assumptions!$C$54</f>
        <v>61.55707798292412</v>
      </c>
      <c r="I37" s="328">
        <f>I36*Assumptions!$C$54</f>
        <v>74.775554498170919</v>
      </c>
      <c r="J37" s="328">
        <f>J36*Assumptions!$C$54</f>
        <v>76.23319028867688</v>
      </c>
      <c r="K37" s="328">
        <f>K36*Assumptions!$C$54</f>
        <v>72.513000230805233</v>
      </c>
      <c r="L37" s="328">
        <f>L36*Assumptions!$C$54</f>
        <v>70.002329045212107</v>
      </c>
      <c r="M37" s="328">
        <f>M36*Assumptions!$C$54</f>
        <v>59.084795801224679</v>
      </c>
      <c r="N37" s="49"/>
      <c r="O37"/>
      <c r="AC37" s="33"/>
    </row>
    <row r="38" spans="1:29" s="3" customFormat="1" x14ac:dyDescent="0.35">
      <c r="A38" s="397" t="s">
        <v>49</v>
      </c>
      <c r="B38" s="197" t="s">
        <v>134</v>
      </c>
      <c r="C38" s="30" t="s">
        <v>111</v>
      </c>
      <c r="D38" s="334" t="s">
        <v>111</v>
      </c>
      <c r="E38" s="357">
        <f>286</f>
        <v>286</v>
      </c>
      <c r="F38" s="334" t="s">
        <v>111</v>
      </c>
      <c r="G38" s="334" t="s">
        <v>111</v>
      </c>
      <c r="H38" s="334" t="s">
        <v>111</v>
      </c>
      <c r="I38" s="334" t="s">
        <v>111</v>
      </c>
      <c r="J38" s="334" t="s">
        <v>111</v>
      </c>
      <c r="K38" s="334" t="s">
        <v>111</v>
      </c>
      <c r="L38" s="334" t="s">
        <v>111</v>
      </c>
      <c r="M38" s="334" t="s">
        <v>111</v>
      </c>
      <c r="N38" s="50"/>
      <c r="O38"/>
      <c r="AC38" s="33"/>
    </row>
    <row r="39" spans="1:29" s="3" customFormat="1" ht="29" x14ac:dyDescent="0.35">
      <c r="A39" s="398"/>
      <c r="B39" s="195" t="s">
        <v>135</v>
      </c>
      <c r="C39" s="327" t="s">
        <v>111</v>
      </c>
      <c r="D39" s="358" t="s">
        <v>111</v>
      </c>
      <c r="E39" s="356">
        <f>E38/(Assumptions!J$47/Assumptions!$H$47)</f>
        <v>162.23762387178942</v>
      </c>
      <c r="F39" s="356">
        <f>E39</f>
        <v>162.23762387178942</v>
      </c>
      <c r="G39" s="356">
        <f t="shared" ref="G39:M39" si="10">F39</f>
        <v>162.23762387178942</v>
      </c>
      <c r="H39" s="356">
        <f t="shared" si="10"/>
        <v>162.23762387178942</v>
      </c>
      <c r="I39" s="356">
        <f t="shared" si="10"/>
        <v>162.23762387178942</v>
      </c>
      <c r="J39" s="356">
        <f t="shared" si="10"/>
        <v>162.23762387178942</v>
      </c>
      <c r="K39" s="356">
        <f t="shared" si="10"/>
        <v>162.23762387178942</v>
      </c>
      <c r="L39" s="356">
        <f t="shared" si="10"/>
        <v>162.23762387178942</v>
      </c>
      <c r="M39" s="356">
        <f t="shared" si="10"/>
        <v>162.23762387178942</v>
      </c>
      <c r="N39" s="70"/>
      <c r="O39"/>
      <c r="AC39" s="33"/>
    </row>
    <row r="40" spans="1:29" s="3" customFormat="1" ht="29" x14ac:dyDescent="0.35">
      <c r="A40" s="398"/>
      <c r="B40" s="195" t="s">
        <v>136</v>
      </c>
      <c r="C40" s="327" t="s">
        <v>111</v>
      </c>
      <c r="D40" s="358" t="s">
        <v>111</v>
      </c>
      <c r="E40" s="356">
        <f>E39/(1+Assumptions!$C$12)^(E$20-2021)</f>
        <v>134.08068088577636</v>
      </c>
      <c r="F40" s="356">
        <f>F39/(1+Assumptions!$C$12)^(F$20-2021)</f>
        <v>121.89152807797849</v>
      </c>
      <c r="G40" s="356">
        <f>G39/(1+Assumptions!$C$12)^(G$20-2021)</f>
        <v>110.81048007088954</v>
      </c>
      <c r="H40" s="356">
        <f>H39/(1+Assumptions!$C$12)^(H$20-2021)</f>
        <v>100.73680006444503</v>
      </c>
      <c r="I40" s="356">
        <f>I39/(1+Assumptions!$C$12)^(I$20-2021)</f>
        <v>91.578909149495473</v>
      </c>
      <c r="J40" s="356">
        <f>J39/(1+Assumptions!$C$12)^(J$20-2021)</f>
        <v>83.253553772268603</v>
      </c>
      <c r="K40" s="356">
        <f>K39/(1+Assumptions!$C$12)^(K$20-2021)</f>
        <v>75.685048883880555</v>
      </c>
      <c r="L40" s="356">
        <f>L39/(1+Assumptions!$C$12)^(L$20-2021)</f>
        <v>68.804589894436859</v>
      </c>
      <c r="M40" s="356">
        <f>M39/(1+Assumptions!$C$12)^(M$20-2021)</f>
        <v>62.549627176760772</v>
      </c>
      <c r="N40" s="70"/>
      <c r="O40"/>
      <c r="AC40" s="33"/>
    </row>
    <row r="41" spans="1:29" s="3" customFormat="1" ht="29.5" thickBot="1" x14ac:dyDescent="0.4">
      <c r="A41" s="399"/>
      <c r="B41" s="336" t="s">
        <v>137</v>
      </c>
      <c r="C41" s="332" t="s">
        <v>111</v>
      </c>
      <c r="D41" s="328">
        <v>0</v>
      </c>
      <c r="E41" s="328">
        <f>E40*Assumptions!$C$54</f>
        <v>2.4563580738274227</v>
      </c>
      <c r="F41" s="328">
        <f>F40*Assumptions!$C$54</f>
        <v>2.2330527943885659</v>
      </c>
      <c r="G41" s="328">
        <f>G40*Assumptions!$C$54</f>
        <v>2.0300479948986965</v>
      </c>
      <c r="H41" s="328">
        <f>H40*Assumptions!$C$54</f>
        <v>1.8454981771806329</v>
      </c>
      <c r="I41" s="328">
        <f>I40*Assumptions!$C$54</f>
        <v>1.677725615618757</v>
      </c>
      <c r="J41" s="328">
        <f>J40*Assumptions!$C$54</f>
        <v>1.5252051051079607</v>
      </c>
      <c r="K41" s="328">
        <f>K40*Assumptions!$C$54</f>
        <v>1.3865500955526917</v>
      </c>
      <c r="L41" s="328">
        <f>L40*Assumptions!$C$54</f>
        <v>1.2605000868660832</v>
      </c>
      <c r="M41" s="328">
        <f>M40*Assumptions!$C$54</f>
        <v>1.1459091698782573</v>
      </c>
      <c r="N41" s="54"/>
      <c r="O41"/>
      <c r="AC41" s="33"/>
    </row>
    <row r="42" spans="1:29" s="3" customFormat="1" x14ac:dyDescent="0.35">
      <c r="A42" s="397" t="s">
        <v>138</v>
      </c>
      <c r="B42" s="194" t="s">
        <v>139</v>
      </c>
      <c r="C42" s="29" t="s">
        <v>111</v>
      </c>
      <c r="D42" s="83">
        <v>0.3</v>
      </c>
      <c r="E42" s="83">
        <v>0.3</v>
      </c>
      <c r="F42" s="81">
        <v>0.3</v>
      </c>
      <c r="G42" s="81">
        <v>0.3</v>
      </c>
      <c r="H42" s="81">
        <v>0.3</v>
      </c>
      <c r="I42" s="81">
        <v>0.3</v>
      </c>
      <c r="J42" s="81">
        <v>0.3</v>
      </c>
      <c r="K42" s="81">
        <v>0.3</v>
      </c>
      <c r="L42" s="81">
        <v>0.3</v>
      </c>
      <c r="M42" s="81">
        <v>0.3</v>
      </c>
      <c r="N42" s="56"/>
      <c r="O42"/>
      <c r="AC42" s="33"/>
    </row>
    <row r="43" spans="1:29" s="3" customFormat="1" x14ac:dyDescent="0.35">
      <c r="A43" s="398"/>
      <c r="B43" s="75" t="s">
        <v>140</v>
      </c>
      <c r="C43" s="44" t="s">
        <v>111</v>
      </c>
      <c r="D43" s="80">
        <v>0.14000000000000001</v>
      </c>
      <c r="E43" s="80">
        <v>0.14000000000000001</v>
      </c>
      <c r="F43" s="82">
        <v>0.14000000000000001</v>
      </c>
      <c r="G43" s="82">
        <v>0.14000000000000001</v>
      </c>
      <c r="H43" s="82">
        <v>0.14000000000000001</v>
      </c>
      <c r="I43" s="82">
        <v>0.14000000000000001</v>
      </c>
      <c r="J43" s="82">
        <v>0.14000000000000001</v>
      </c>
      <c r="K43" s="82">
        <v>0.14000000000000001</v>
      </c>
      <c r="L43" s="82">
        <v>0.14000000000000001</v>
      </c>
      <c r="M43" s="82">
        <v>0.14000000000000001</v>
      </c>
      <c r="N43" s="57"/>
      <c r="O43"/>
      <c r="AC43" s="33"/>
    </row>
    <row r="44" spans="1:29" s="3" customFormat="1" ht="29" x14ac:dyDescent="0.35">
      <c r="A44" s="398"/>
      <c r="B44" s="195" t="s">
        <v>135</v>
      </c>
      <c r="C44" s="327" t="s">
        <v>111</v>
      </c>
      <c r="D44" s="356">
        <f>(D42*D43*$B$9*$B$8*Assumptions!E41)+(D42*D43*D32*Assumptions!E41)+(D42*D43*D22*Assumptions!E41)</f>
        <v>658.15067110833866</v>
      </c>
      <c r="E44" s="356">
        <f>(E42*E43*$B$9*$B$8*Assumptions!F41)+(E42*E43*E32*Assumptions!F41)+(E42*E43*E22*Assumptions!F41)</f>
        <v>287.55901046645511</v>
      </c>
      <c r="F44" s="356">
        <f>(F42*F43*$B$9*$B$8*Assumptions!G41)+(F42*F43*F32*Assumptions!G41)+(F42*F43*F22*Assumptions!G41)</f>
        <v>266.07237273367741</v>
      </c>
      <c r="G44" s="356">
        <f>(G42*G43*$B$9*$B$8*Assumptions!H41)+(G42*G43*G32*Assumptions!H41)+(G42*G43*G22*Assumptions!H41)</f>
        <v>604.98113836935897</v>
      </c>
      <c r="H44" s="356">
        <f>(H42*H43*$B$9*$B$8*Assumptions!I41)+(H42*H43*H32*Assumptions!I41)+(H42*H43*H22*Assumptions!I41)</f>
        <v>720.83938137192797</v>
      </c>
      <c r="I44" s="356">
        <f>(I42*I43*$B$9*$B$8*Assumptions!J41)+(I42*I43*I32*Assumptions!J41)+(I42*I43*I22*Assumptions!J41)</f>
        <v>796.49814775913057</v>
      </c>
      <c r="J44" s="356">
        <f>(J42*J43*$B$9*$B$8*Assumptions!K41)+(J42*J43*J32*Assumptions!K41)+(J42*J43*J22*Assumptions!K41)</f>
        <v>832.59066784498293</v>
      </c>
      <c r="K44" s="356">
        <f>(K42*K43*$B$9*$B$8*Assumptions!L41)+(K42*K43*K32*Assumptions!L41)+(K42*K43*K22*Assumptions!L41)</f>
        <v>847.58654475667163</v>
      </c>
      <c r="L44" s="356">
        <f>(L42*L43*$B$9*$B$8*Assumptions!M41)+(L42*L43*L32*Assumptions!M41)+(L42*L43*L22*Assumptions!M41)</f>
        <v>868.94703549368887</v>
      </c>
      <c r="M44" s="356">
        <f>(M42*M43*$B$9*$B$8*Assumptions!N41)+(M42*M43*M32*Assumptions!N41)+(M42*M43*M22*Assumptions!N41)</f>
        <v>841.09292467277498</v>
      </c>
      <c r="N44" s="47"/>
      <c r="O44"/>
      <c r="AC44" s="33"/>
    </row>
    <row r="45" spans="1:29" s="3" customFormat="1" ht="29" x14ac:dyDescent="0.35">
      <c r="A45" s="398"/>
      <c r="B45" s="195" t="s">
        <v>136</v>
      </c>
      <c r="C45" s="327" t="s">
        <v>111</v>
      </c>
      <c r="D45" s="356">
        <f>D44/(1+Assumptions!$C$12)^(D$20-2021)</f>
        <v>598.31879191667144</v>
      </c>
      <c r="E45" s="356">
        <f>E44/(1+Assumptions!$C$12)^(E$20-2021)</f>
        <v>237.65207476566533</v>
      </c>
      <c r="F45" s="356">
        <f>F44/(1+Assumptions!$C$12)^(F$20-2021)</f>
        <v>199.90411174581317</v>
      </c>
      <c r="G45" s="356">
        <f>G44/(1+Assumptions!$C$12)^(G$20-2021)</f>
        <v>413.2102577483497</v>
      </c>
      <c r="H45" s="356">
        <f>H44/(1+Assumptions!$C$12)^(H$20-2021)</f>
        <v>447.58454239460031</v>
      </c>
      <c r="I45" s="356">
        <f>I44/(1+Assumptions!$C$12)^(I$20-2021)</f>
        <v>449.60243974615054</v>
      </c>
      <c r="J45" s="356">
        <f>J44/(1+Assumptions!$C$12)^(J$20-2021)</f>
        <v>427.25066036777861</v>
      </c>
      <c r="K45" s="356">
        <f>K44/(1+Assumptions!$C$12)^(K$20-2021)</f>
        <v>395.40537849545461</v>
      </c>
      <c r="L45" s="356">
        <f>L44/(1+Assumptions!$C$12)^(L$20-2021)</f>
        <v>368.51836824470433</v>
      </c>
      <c r="M45" s="356">
        <f>M44/(1+Assumptions!$C$12)^(M$20-2021)</f>
        <v>324.27773289424681</v>
      </c>
      <c r="N45" s="68"/>
      <c r="O45"/>
      <c r="AC45" s="33"/>
    </row>
    <row r="46" spans="1:29" s="3" customFormat="1" ht="30" thickBot="1" x14ac:dyDescent="0.45">
      <c r="A46" s="399"/>
      <c r="B46" s="337" t="s">
        <v>141</v>
      </c>
      <c r="C46" s="333"/>
      <c r="D46" s="338">
        <f>D45*Assumptions!$C$54</f>
        <v>10.961200267913421</v>
      </c>
      <c r="E46" s="338">
        <f>E45*Assumptions!$C$54</f>
        <v>4.3537860097069885</v>
      </c>
      <c r="F46" s="338">
        <f>F45*Assumptions!$C$54</f>
        <v>3.662243327183297</v>
      </c>
      <c r="G46" s="338">
        <f>G45*Assumptions!$C$54</f>
        <v>7.5700119219497664</v>
      </c>
      <c r="H46" s="338">
        <f>H45*Assumptions!$C$54</f>
        <v>8.1997488166690768</v>
      </c>
      <c r="I46" s="338">
        <f>I45*Assumptions!$C$54</f>
        <v>8.2367166961494771</v>
      </c>
      <c r="J46" s="338">
        <f>J45*Assumptions!$C$54</f>
        <v>7.8272320979377037</v>
      </c>
      <c r="K46" s="338">
        <f>K45*Assumptions!$C$54</f>
        <v>7.243826534036728</v>
      </c>
      <c r="L46" s="338">
        <f>L45*Assumptions!$C$54</f>
        <v>6.7512565062429832</v>
      </c>
      <c r="M46" s="338">
        <f>M45*Assumptions!$C$54</f>
        <v>5.940768066622601</v>
      </c>
      <c r="N46" s="49"/>
      <c r="O46"/>
      <c r="AC46" s="33"/>
    </row>
    <row r="47" spans="1:29" ht="18" x14ac:dyDescent="0.4">
      <c r="A47" s="410" t="s">
        <v>137</v>
      </c>
      <c r="B47" s="411"/>
      <c r="C47" s="55">
        <f t="shared" ref="C47:M47" si="11">SUM(C28,C37,C41,C46)</f>
        <v>0</v>
      </c>
      <c r="D47" s="55">
        <f t="shared" si="11"/>
        <v>-9.0566529471577919</v>
      </c>
      <c r="E47" s="55">
        <f t="shared" si="11"/>
        <v>-9.3058570508783802</v>
      </c>
      <c r="F47" s="55">
        <f t="shared" si="11"/>
        <v>7.1137399840830451</v>
      </c>
      <c r="G47" s="55">
        <f t="shared" si="11"/>
        <v>46.746053896117459</v>
      </c>
      <c r="H47" s="55">
        <f t="shared" si="11"/>
        <v>75.113427553462458</v>
      </c>
      <c r="I47" s="55">
        <f t="shared" si="11"/>
        <v>87.648898708657654</v>
      </c>
      <c r="J47" s="55">
        <f t="shared" si="11"/>
        <v>88.079174819097148</v>
      </c>
      <c r="K47" s="55">
        <f t="shared" si="11"/>
        <v>83.244757199009427</v>
      </c>
      <c r="L47" s="55">
        <f t="shared" si="11"/>
        <v>79.784976160044721</v>
      </c>
      <c r="M47" s="55">
        <f t="shared" si="11"/>
        <v>67.663850777396192</v>
      </c>
      <c r="N47" s="55"/>
      <c r="AC47" s="209"/>
    </row>
    <row r="48" spans="1:29" x14ac:dyDescent="0.35">
      <c r="A48" s="210"/>
      <c r="AC48" s="209"/>
    </row>
    <row r="49" spans="1:30" x14ac:dyDescent="0.35">
      <c r="A49" s="407" t="s">
        <v>142</v>
      </c>
      <c r="B49" s="407"/>
      <c r="C49" s="408">
        <f>SUM(C47:N47)</f>
        <v>517.03236909983195</v>
      </c>
      <c r="D49" s="409"/>
      <c r="E49" s="409"/>
      <c r="AC49" s="209"/>
    </row>
    <row r="50" spans="1:30" x14ac:dyDescent="0.35">
      <c r="A50" s="407"/>
      <c r="B50" s="407"/>
      <c r="C50" s="409"/>
      <c r="D50" s="409"/>
      <c r="E50" s="409"/>
      <c r="AC50" s="209"/>
    </row>
    <row r="51" spans="1:30" x14ac:dyDescent="0.35">
      <c r="A51" s="210"/>
      <c r="AC51" s="209"/>
    </row>
    <row r="52" spans="1:30" x14ac:dyDescent="0.35">
      <c r="A52" s="210"/>
      <c r="AC52" s="209"/>
    </row>
    <row r="53" spans="1:30" ht="44.5" x14ac:dyDescent="0.45">
      <c r="A53" s="238" t="s">
        <v>143</v>
      </c>
      <c r="B53" s="239" t="s">
        <v>144</v>
      </c>
      <c r="AC53" s="209"/>
    </row>
    <row r="54" spans="1:30" s="3" customFormat="1" ht="21" thickBot="1" x14ac:dyDescent="0.5">
      <c r="A54" s="15" t="s">
        <v>108</v>
      </c>
      <c r="B54" s="188"/>
      <c r="C54" s="16">
        <v>2021</v>
      </c>
      <c r="D54" s="16">
        <v>2022</v>
      </c>
      <c r="E54" s="16">
        <v>2023</v>
      </c>
      <c r="F54" s="16">
        <v>2024</v>
      </c>
      <c r="G54" s="16">
        <v>2025</v>
      </c>
      <c r="H54" s="16">
        <v>2026</v>
      </c>
      <c r="I54" s="16">
        <v>2027</v>
      </c>
      <c r="J54" s="16">
        <v>2028</v>
      </c>
      <c r="K54" s="16">
        <v>2029</v>
      </c>
      <c r="L54" s="16">
        <v>2030</v>
      </c>
      <c r="M54" s="16">
        <v>2031</v>
      </c>
      <c r="N54" s="16">
        <v>2032</v>
      </c>
      <c r="O54"/>
      <c r="P54" s="22" t="s">
        <v>145</v>
      </c>
      <c r="Q54" s="22"/>
      <c r="R54" s="22"/>
      <c r="S54" s="22"/>
      <c r="T54" s="22"/>
      <c r="U54" s="22"/>
      <c r="V54" s="22"/>
      <c r="W54" s="22"/>
      <c r="X54" s="22"/>
      <c r="Y54" s="22"/>
      <c r="Z54" s="22"/>
      <c r="AA54" s="22"/>
      <c r="AC54" s="33"/>
    </row>
    <row r="55" spans="1:30" s="3" customFormat="1" ht="15.5" x14ac:dyDescent="0.35">
      <c r="A55" s="404" t="s">
        <v>45</v>
      </c>
      <c r="B55" s="194" t="s">
        <v>110</v>
      </c>
      <c r="C55" s="13" t="s">
        <v>111</v>
      </c>
      <c r="D55" s="13" t="s">
        <v>111</v>
      </c>
      <c r="E55" s="78">
        <f>D21</f>
        <v>0.34</v>
      </c>
      <c r="F55" s="78">
        <f>E55</f>
        <v>0.34</v>
      </c>
      <c r="G55" s="78">
        <f t="shared" ref="G55:N55" si="12">F55-F55*0.073</f>
        <v>0.31518000000000002</v>
      </c>
      <c r="H55" s="78">
        <f t="shared" si="12"/>
        <v>0.29217186000000001</v>
      </c>
      <c r="I55" s="78">
        <f t="shared" si="12"/>
        <v>0.27084331422000002</v>
      </c>
      <c r="J55" s="78">
        <f t="shared" si="12"/>
        <v>0.25107175228194001</v>
      </c>
      <c r="K55" s="78">
        <f t="shared" si="12"/>
        <v>0.23274351436535839</v>
      </c>
      <c r="L55" s="78">
        <f t="shared" si="12"/>
        <v>0.21575323781668723</v>
      </c>
      <c r="M55" s="78">
        <f t="shared" si="12"/>
        <v>0.20000325145606906</v>
      </c>
      <c r="N55" s="84">
        <f t="shared" si="12"/>
        <v>0.18540301409977603</v>
      </c>
      <c r="O55"/>
      <c r="P55" s="21"/>
      <c r="Q55" s="17">
        <v>2021</v>
      </c>
      <c r="R55" s="17">
        <v>2022</v>
      </c>
      <c r="S55" s="17">
        <v>2023</v>
      </c>
      <c r="T55" s="17">
        <v>2024</v>
      </c>
      <c r="U55" s="17">
        <v>2025</v>
      </c>
      <c r="V55" s="17">
        <v>2026</v>
      </c>
      <c r="W55" s="17">
        <v>2027</v>
      </c>
      <c r="X55" s="17">
        <v>2028</v>
      </c>
      <c r="Y55" s="17">
        <v>2029</v>
      </c>
      <c r="Z55" s="17">
        <v>2030</v>
      </c>
      <c r="AA55" s="17">
        <v>2031</v>
      </c>
      <c r="AB55" s="17">
        <v>2032</v>
      </c>
      <c r="AC55" s="33"/>
    </row>
    <row r="56" spans="1:30" s="7" customFormat="1" x14ac:dyDescent="0.35">
      <c r="A56" s="405"/>
      <c r="B56" s="165" t="s">
        <v>112</v>
      </c>
      <c r="C56" s="42" t="s">
        <v>111</v>
      </c>
      <c r="D56" s="42" t="s">
        <v>111</v>
      </c>
      <c r="E56" s="85">
        <f>E55*$G$9*$G$8*Assumptions!$C$28</f>
        <v>23.18834</v>
      </c>
      <c r="F56" s="85">
        <f>F55*$G$9*$G$8*Assumptions!$C$28</f>
        <v>23.18834</v>
      </c>
      <c r="G56" s="85">
        <f>G55*$G$9*$G$8*Assumptions!$C$28</f>
        <v>21.495591180000002</v>
      </c>
      <c r="H56" s="85">
        <f>H55*$G$9*$G$8*Assumptions!$C$28</f>
        <v>19.926413023859997</v>
      </c>
      <c r="I56" s="85">
        <f>I55*$G$9*$G$8*Assumptions!$C$28</f>
        <v>18.471784873118221</v>
      </c>
      <c r="J56" s="85">
        <f>J55*$G$9*$G$8*Assumptions!$C$28</f>
        <v>17.123344577380589</v>
      </c>
      <c r="K56" s="85">
        <f>K55*$G$9*$G$8*Assumptions!$C$28</f>
        <v>15.873340423231808</v>
      </c>
      <c r="L56" s="85">
        <f>L55*$G$9*$G$8*Assumptions!$C$28</f>
        <v>14.714586572335884</v>
      </c>
      <c r="M56" s="85">
        <f>M55*$G$9*$G$8*Assumptions!$C$28</f>
        <v>13.640421752555364</v>
      </c>
      <c r="N56" s="329">
        <f>N55*$G$9*$G$8*Assumptions!$C$28</f>
        <v>12.644670964618825</v>
      </c>
      <c r="O56"/>
      <c r="P56" s="12" t="s">
        <v>113</v>
      </c>
      <c r="Q56" s="12"/>
      <c r="R56" s="18">
        <v>0</v>
      </c>
      <c r="S56" s="18">
        <f t="shared" ref="S56:AA56" si="13">E66</f>
        <v>43.068799999999996</v>
      </c>
      <c r="T56" s="18">
        <f t="shared" si="13"/>
        <v>39.04900710511933</v>
      </c>
      <c r="U56" s="18">
        <f t="shared" si="13"/>
        <v>38.686409182000368</v>
      </c>
      <c r="V56" s="18">
        <f t="shared" si="13"/>
        <v>33.244353315959188</v>
      </c>
      <c r="W56" s="18">
        <f t="shared" si="13"/>
        <v>28.567836890649897</v>
      </c>
      <c r="X56" s="18">
        <f t="shared" si="13"/>
        <v>24.549170707405285</v>
      </c>
      <c r="Y56" s="18">
        <f t="shared" si="13"/>
        <v>21.09581431482388</v>
      </c>
      <c r="Z56" s="18">
        <f t="shared" si="13"/>
        <v>18.128245019343289</v>
      </c>
      <c r="AA56" s="18">
        <f t="shared" si="13"/>
        <v>15.578126664227252</v>
      </c>
      <c r="AB56" s="18">
        <f>N65</f>
        <v>81.58956169693171</v>
      </c>
      <c r="AC56" s="247"/>
      <c r="AD56" s="3"/>
    </row>
    <row r="57" spans="1:30" s="7" customFormat="1" x14ac:dyDescent="0.35">
      <c r="A57" s="405"/>
      <c r="B57" s="165" t="s">
        <v>114</v>
      </c>
      <c r="C57" s="42" t="s">
        <v>111</v>
      </c>
      <c r="D57" s="42" t="s">
        <v>111</v>
      </c>
      <c r="E57" s="42">
        <f>E56/Assumptions!$C$15</f>
        <v>0.46376679999999998</v>
      </c>
      <c r="F57" s="42">
        <f>F56/Assumptions!$C$15</f>
        <v>0.46376679999999998</v>
      </c>
      <c r="G57" s="42">
        <f>G56/Assumptions!$C$15</f>
        <v>0.42991182360000002</v>
      </c>
      <c r="H57" s="42">
        <f>H56/Assumptions!$C$15</f>
        <v>0.39852826047719991</v>
      </c>
      <c r="I57" s="42">
        <f>I56/Assumptions!$C$15</f>
        <v>0.36943569746236443</v>
      </c>
      <c r="J57" s="42">
        <f>J56/Assumptions!$C$15</f>
        <v>0.34246689154761178</v>
      </c>
      <c r="K57" s="42">
        <f>K56/Assumptions!$C$15</f>
        <v>0.31746680846463615</v>
      </c>
      <c r="L57" s="42">
        <f>L56/Assumptions!$C$15</f>
        <v>0.29429173144671766</v>
      </c>
      <c r="M57" s="42">
        <f>M56/Assumptions!$C$15</f>
        <v>0.2728084350511073</v>
      </c>
      <c r="N57" s="73">
        <f>N56/Assumptions!$C$15</f>
        <v>0.25289341929237652</v>
      </c>
      <c r="O57"/>
      <c r="P57" s="12" t="s">
        <v>115</v>
      </c>
      <c r="Q57" s="12"/>
      <c r="R57" s="18">
        <f t="shared" ref="R57:AA64" si="14">Q56</f>
        <v>0</v>
      </c>
      <c r="S57" s="18">
        <f t="shared" si="14"/>
        <v>0</v>
      </c>
      <c r="T57" s="18">
        <f t="shared" si="14"/>
        <v>43.068799999999996</v>
      </c>
      <c r="U57" s="18">
        <f t="shared" si="14"/>
        <v>39.04900710511933</v>
      </c>
      <c r="V57" s="18">
        <f t="shared" si="14"/>
        <v>38.686409182000368</v>
      </c>
      <c r="W57" s="18">
        <f t="shared" si="14"/>
        <v>33.244353315959188</v>
      </c>
      <c r="X57" s="18">
        <f t="shared" si="14"/>
        <v>28.567836890649897</v>
      </c>
      <c r="Y57" s="18">
        <f t="shared" si="14"/>
        <v>24.549170707405285</v>
      </c>
      <c r="Z57" s="18">
        <f t="shared" si="14"/>
        <v>21.09581431482388</v>
      </c>
      <c r="AA57" s="18">
        <f t="shared" si="14"/>
        <v>18.128245019343289</v>
      </c>
      <c r="AB57" s="18">
        <f t="shared" ref="AB57:AB63" si="15">AA56</f>
        <v>15.578126664227252</v>
      </c>
      <c r="AC57" s="247"/>
      <c r="AD57" s="3"/>
    </row>
    <row r="58" spans="1:30" s="7" customFormat="1" x14ac:dyDescent="0.35">
      <c r="A58" s="405"/>
      <c r="B58" s="165" t="s">
        <v>146</v>
      </c>
      <c r="C58" s="42" t="s">
        <v>111</v>
      </c>
      <c r="D58" s="42" t="s">
        <v>111</v>
      </c>
      <c r="E58" s="359">
        <f>E57*$G$11*Assumptions!F25</f>
        <v>1.5466767490369946</v>
      </c>
      <c r="F58" s="359">
        <f>F57*$G$11*Assumptions!G25</f>
        <v>1.5466767490369946</v>
      </c>
      <c r="G58" s="359">
        <f>G57*$G$11*Assumptions!H25</f>
        <v>1.433769346357294</v>
      </c>
      <c r="H58" s="359">
        <f>H57*$G$11*Assumptions!I25</f>
        <v>1.3291041840732114</v>
      </c>
      <c r="I58" s="359">
        <f>I57*$G$11*Assumptions!J25</f>
        <v>1.2320795786358671</v>
      </c>
      <c r="J58" s="359">
        <f>J57*$G$11*Assumptions!K25</f>
        <v>1.1421377693954486</v>
      </c>
      <c r="K58" s="359">
        <f>K57*$G$11*Assumptions!L25</f>
        <v>1.0587617122295809</v>
      </c>
      <c r="L58" s="359">
        <f>L57*$G$11*Assumptions!M25</f>
        <v>0.98147210723682154</v>
      </c>
      <c r="M58" s="359">
        <f>M57*$G$11*Assumptions!N25</f>
        <v>0.90982464340853364</v>
      </c>
      <c r="N58" s="360">
        <f>N57*$G$11*Assumptions!O25</f>
        <v>0.84340744443971083</v>
      </c>
      <c r="O58"/>
      <c r="P58" s="12" t="s">
        <v>117</v>
      </c>
      <c r="Q58" s="12"/>
      <c r="R58" s="18">
        <f t="shared" si="14"/>
        <v>0</v>
      </c>
      <c r="S58" s="18">
        <f t="shared" si="14"/>
        <v>0</v>
      </c>
      <c r="T58" s="18">
        <f t="shared" si="14"/>
        <v>0</v>
      </c>
      <c r="U58" s="18">
        <f t="shared" si="14"/>
        <v>43.068799999999996</v>
      </c>
      <c r="V58" s="18">
        <f t="shared" si="14"/>
        <v>39.04900710511933</v>
      </c>
      <c r="W58" s="18">
        <f t="shared" si="14"/>
        <v>38.686409182000368</v>
      </c>
      <c r="X58" s="18">
        <f t="shared" si="14"/>
        <v>33.244353315959188</v>
      </c>
      <c r="Y58" s="18">
        <f t="shared" si="14"/>
        <v>28.567836890649897</v>
      </c>
      <c r="Z58" s="18">
        <f t="shared" si="14"/>
        <v>24.549170707405285</v>
      </c>
      <c r="AA58" s="18">
        <f t="shared" si="14"/>
        <v>21.09581431482388</v>
      </c>
      <c r="AB58" s="18">
        <f t="shared" si="15"/>
        <v>18.128245019343289</v>
      </c>
      <c r="AC58" s="247"/>
      <c r="AD58" s="3"/>
    </row>
    <row r="59" spans="1:30" s="7" customFormat="1" ht="29" x14ac:dyDescent="0.35">
      <c r="A59" s="405"/>
      <c r="B59" s="165" t="s">
        <v>147</v>
      </c>
      <c r="C59" s="42" t="s">
        <v>111</v>
      </c>
      <c r="D59" s="42" t="s">
        <v>111</v>
      </c>
      <c r="E59" s="355">
        <f>E56*Assumptions!F42</f>
        <v>543.76156655253112</v>
      </c>
      <c r="F59" s="355">
        <f>F56*Assumptions!G42</f>
        <v>429.0738179889612</v>
      </c>
      <c r="G59" s="355">
        <f>G56*Assumptions!H42</f>
        <v>727.83707900618401</v>
      </c>
      <c r="H59" s="355">
        <f>H56*Assumptions!I42</f>
        <v>674.70497223873247</v>
      </c>
      <c r="I59" s="355">
        <f>I56*Assumptions!J42</f>
        <v>625.45150926530516</v>
      </c>
      <c r="J59" s="355">
        <f>J56*Assumptions!K42</f>
        <v>579.79354908893777</v>
      </c>
      <c r="K59" s="355">
        <f>K56*Assumptions!L42</f>
        <v>537.46862000544536</v>
      </c>
      <c r="L59" s="355">
        <f>L56*Assumptions!M42</f>
        <v>498.23341074504782</v>
      </c>
      <c r="M59" s="355">
        <f>M56*Assumptions!N42</f>
        <v>461.8623717606593</v>
      </c>
      <c r="N59" s="361">
        <f>N56*Assumptions!O42</f>
        <v>428.14641862213131</v>
      </c>
      <c r="O59"/>
      <c r="P59" s="12" t="s">
        <v>119</v>
      </c>
      <c r="Q59" s="12"/>
      <c r="R59" s="18">
        <f t="shared" si="14"/>
        <v>0</v>
      </c>
      <c r="S59" s="18">
        <f t="shared" si="14"/>
        <v>0</v>
      </c>
      <c r="T59" s="18">
        <f t="shared" si="14"/>
        <v>0</v>
      </c>
      <c r="U59" s="18">
        <f t="shared" si="14"/>
        <v>0</v>
      </c>
      <c r="V59" s="18">
        <f t="shared" si="14"/>
        <v>43.068799999999996</v>
      </c>
      <c r="W59" s="18">
        <f t="shared" si="14"/>
        <v>39.04900710511933</v>
      </c>
      <c r="X59" s="18">
        <f t="shared" si="14"/>
        <v>38.686409182000368</v>
      </c>
      <c r="Y59" s="18">
        <f t="shared" si="14"/>
        <v>33.244353315959188</v>
      </c>
      <c r="Z59" s="18">
        <f t="shared" si="14"/>
        <v>28.567836890649897</v>
      </c>
      <c r="AA59" s="18">
        <f t="shared" si="14"/>
        <v>24.549170707405285</v>
      </c>
      <c r="AB59" s="18">
        <f t="shared" si="15"/>
        <v>21.09581431482388</v>
      </c>
      <c r="AC59" s="247"/>
      <c r="AD59" s="3"/>
    </row>
    <row r="60" spans="1:30" s="7" customFormat="1" ht="29" x14ac:dyDescent="0.35">
      <c r="A60" s="405"/>
      <c r="B60" s="195" t="s">
        <v>148</v>
      </c>
      <c r="C60" s="327" t="s">
        <v>111</v>
      </c>
      <c r="D60" s="327" t="s">
        <v>111</v>
      </c>
      <c r="E60" s="356">
        <f>E59-E58</f>
        <v>542.21488980349409</v>
      </c>
      <c r="F60" s="356">
        <f t="shared" ref="F60" si="16">F59-F58</f>
        <v>427.52714123992422</v>
      </c>
      <c r="G60" s="356">
        <f t="shared" ref="G60" si="17">G59-G58</f>
        <v>726.40330965982673</v>
      </c>
      <c r="H60" s="356">
        <f t="shared" ref="H60" si="18">H59-H58</f>
        <v>673.37586805465924</v>
      </c>
      <c r="I60" s="356">
        <f t="shared" ref="I60" si="19">I59-I58</f>
        <v>624.21942968666929</v>
      </c>
      <c r="J60" s="356">
        <f t="shared" ref="J60" si="20">J59-J58</f>
        <v>578.65141131954226</v>
      </c>
      <c r="K60" s="356">
        <f t="shared" ref="K60" si="21">K59-K58</f>
        <v>536.40985829321573</v>
      </c>
      <c r="L60" s="356">
        <f t="shared" ref="L60" si="22">L59-L58</f>
        <v>497.25193863781101</v>
      </c>
      <c r="M60" s="356">
        <f t="shared" ref="M60:N60" si="23">M59-M58</f>
        <v>460.95254711725079</v>
      </c>
      <c r="N60" s="362">
        <f t="shared" si="23"/>
        <v>427.30301117769159</v>
      </c>
      <c r="O60"/>
      <c r="P60" s="12" t="s">
        <v>121</v>
      </c>
      <c r="Q60" s="12"/>
      <c r="R60" s="18">
        <f t="shared" si="14"/>
        <v>0</v>
      </c>
      <c r="S60" s="18">
        <f t="shared" si="14"/>
        <v>0</v>
      </c>
      <c r="T60" s="18">
        <f t="shared" si="14"/>
        <v>0</v>
      </c>
      <c r="U60" s="18">
        <f t="shared" si="14"/>
        <v>0</v>
      </c>
      <c r="V60" s="18">
        <f t="shared" si="14"/>
        <v>0</v>
      </c>
      <c r="W60" s="18">
        <f t="shared" si="14"/>
        <v>43.068799999999996</v>
      </c>
      <c r="X60" s="18">
        <f t="shared" si="14"/>
        <v>39.04900710511933</v>
      </c>
      <c r="Y60" s="18">
        <f t="shared" si="14"/>
        <v>38.686409182000368</v>
      </c>
      <c r="Z60" s="18">
        <f t="shared" si="14"/>
        <v>33.244353315959188</v>
      </c>
      <c r="AA60" s="18">
        <f t="shared" si="14"/>
        <v>28.567836890649897</v>
      </c>
      <c r="AB60" s="18">
        <f t="shared" si="15"/>
        <v>24.549170707405285</v>
      </c>
      <c r="AC60" s="247"/>
      <c r="AD60" s="3"/>
    </row>
    <row r="61" spans="1:30" s="7" customFormat="1" ht="29" x14ac:dyDescent="0.35">
      <c r="A61" s="405"/>
      <c r="B61" s="195" t="s">
        <v>149</v>
      </c>
      <c r="C61" s="327" t="s">
        <v>111</v>
      </c>
      <c r="D61" s="327" t="s">
        <v>111</v>
      </c>
      <c r="E61" s="356">
        <f>E60/(1+Assumptions!$C$12)^(E$20-2022)</f>
        <v>492.9226270940855</v>
      </c>
      <c r="F61" s="356">
        <f>F60/(1+Assumptions!$C$12)^(F$20-2022)</f>
        <v>353.32821590076378</v>
      </c>
      <c r="G61" s="356">
        <f>G60/(1+Assumptions!$C$12)^(G$20-2022)</f>
        <v>545.75755797131967</v>
      </c>
      <c r="H61" s="356">
        <f>H60/(1+Assumptions!$C$12)^(H$20-2022)</f>
        <v>459.92477839946662</v>
      </c>
      <c r="I61" s="356">
        <f>I60/(1+Assumptions!$C$12)^(I$20-2022)</f>
        <v>387.59115416027782</v>
      </c>
      <c r="J61" s="356">
        <f>J60/(1+Assumptions!$C$12)^(J$20-2022)</f>
        <v>326.63363627870672</v>
      </c>
      <c r="K61" s="356">
        <f>K60/(1+Assumptions!$C$12)^(K$20-2022)</f>
        <v>275.26307348214647</v>
      </c>
      <c r="L61" s="356">
        <f>L60/(1+Assumptions!$C$12)^(L$20-2022)</f>
        <v>231.97169919813621</v>
      </c>
      <c r="M61" s="356">
        <f>M60/(1+Assumptions!$C$12)^(M$20-2022)</f>
        <v>195.48887741515657</v>
      </c>
      <c r="N61" s="362">
        <f>N60/(1+Assumptions!$C$12)^(N$20-2022)</f>
        <v>164.74380851259107</v>
      </c>
      <c r="O61"/>
      <c r="P61" s="12" t="s">
        <v>123</v>
      </c>
      <c r="Q61" s="12"/>
      <c r="R61" s="18">
        <f t="shared" ref="R61:AB61" si="24">Q60</f>
        <v>0</v>
      </c>
      <c r="S61" s="18">
        <f t="shared" si="24"/>
        <v>0</v>
      </c>
      <c r="T61" s="18">
        <f t="shared" si="24"/>
        <v>0</v>
      </c>
      <c r="U61" s="18">
        <f t="shared" si="24"/>
        <v>0</v>
      </c>
      <c r="V61" s="18">
        <f t="shared" si="24"/>
        <v>0</v>
      </c>
      <c r="W61" s="18">
        <f t="shared" si="24"/>
        <v>0</v>
      </c>
      <c r="X61" s="18">
        <f t="shared" si="24"/>
        <v>43.068799999999996</v>
      </c>
      <c r="Y61" s="18">
        <f t="shared" si="24"/>
        <v>39.04900710511933</v>
      </c>
      <c r="Z61" s="18">
        <f t="shared" si="24"/>
        <v>38.686409182000368</v>
      </c>
      <c r="AA61" s="18">
        <f t="shared" si="24"/>
        <v>33.244353315959188</v>
      </c>
      <c r="AB61" s="18">
        <f t="shared" si="24"/>
        <v>28.567836890649897</v>
      </c>
      <c r="AC61" s="247"/>
      <c r="AD61" s="3"/>
    </row>
    <row r="62" spans="1:30" s="7" customFormat="1" ht="29" x14ac:dyDescent="0.35">
      <c r="A62" s="405"/>
      <c r="B62" s="195" t="s">
        <v>120</v>
      </c>
      <c r="C62" s="327" t="s">
        <v>111</v>
      </c>
      <c r="D62" s="327" t="s">
        <v>111</v>
      </c>
      <c r="E62" s="356">
        <f>E61/(Assumptions!$I$47/Assumptions!$H$47)</f>
        <v>369.64696409109911</v>
      </c>
      <c r="F62" s="356">
        <f>F61/(Assumptions!$I$47/Assumptions!$H$47)</f>
        <v>264.96390134371433</v>
      </c>
      <c r="G62" s="356">
        <f>G61/(Assumptions!$I$47/Assumptions!$H$47)</f>
        <v>409.26833816327149</v>
      </c>
      <c r="H62" s="356">
        <f>H61/(Assumptions!$I$47/Assumptions!$H$47)</f>
        <v>344.90159043395693</v>
      </c>
      <c r="I62" s="356">
        <f>I61/(Assumptions!$I$47/Assumptions!$H$47)</f>
        <v>290.65797666570739</v>
      </c>
      <c r="J62" s="356">
        <f>J61/(Assumptions!$I$47/Assumptions!$H$47)</f>
        <v>244.94540397191875</v>
      </c>
      <c r="K62" s="356">
        <f>K61/(Assumptions!$I$47/Assumptions!$H$47)</f>
        <v>206.42217225633516</v>
      </c>
      <c r="L62" s="356">
        <f>L61/(Assumptions!$I$47/Assumptions!$H$47)</f>
        <v>173.95759425602066</v>
      </c>
      <c r="M62" s="356">
        <f>M61/(Assumptions!$I$47/Assumptions!$H$47)</f>
        <v>146.59880897757375</v>
      </c>
      <c r="N62" s="362">
        <f>N61/(Assumptions!$I$47/Assumptions!$H$47)</f>
        <v>123.54281447473718</v>
      </c>
      <c r="O62"/>
      <c r="P62" s="12" t="s">
        <v>125</v>
      </c>
      <c r="Q62" s="12"/>
      <c r="R62" s="18">
        <f t="shared" si="14"/>
        <v>0</v>
      </c>
      <c r="S62" s="18">
        <f t="shared" si="14"/>
        <v>0</v>
      </c>
      <c r="T62" s="18">
        <f t="shared" si="14"/>
        <v>0</v>
      </c>
      <c r="U62" s="18">
        <f t="shared" si="14"/>
        <v>0</v>
      </c>
      <c r="V62" s="18">
        <f t="shared" si="14"/>
        <v>0</v>
      </c>
      <c r="W62" s="18">
        <f t="shared" si="14"/>
        <v>0</v>
      </c>
      <c r="X62" s="18">
        <f t="shared" si="14"/>
        <v>0</v>
      </c>
      <c r="Y62" s="18">
        <f t="shared" si="14"/>
        <v>43.068799999999996</v>
      </c>
      <c r="Z62" s="18">
        <f t="shared" si="14"/>
        <v>39.04900710511933</v>
      </c>
      <c r="AA62" s="18">
        <f t="shared" si="14"/>
        <v>38.686409182000368</v>
      </c>
      <c r="AB62" s="18">
        <f t="shared" si="15"/>
        <v>33.244353315959188</v>
      </c>
      <c r="AC62" s="247"/>
      <c r="AD62" s="3"/>
    </row>
    <row r="63" spans="1:30" s="7" customFormat="1" ht="30" thickBot="1" x14ac:dyDescent="0.45">
      <c r="A63" s="406"/>
      <c r="B63" s="337" t="s">
        <v>124</v>
      </c>
      <c r="C63" s="332" t="s">
        <v>111</v>
      </c>
      <c r="D63" s="332" t="s">
        <v>111</v>
      </c>
      <c r="E63" s="48">
        <f>E62*Assumptions!$C$54</f>
        <v>6.7719323821489352</v>
      </c>
      <c r="F63" s="48">
        <f>F62*Assumptions!$C$54</f>
        <v>4.8541386726168465</v>
      </c>
      <c r="G63" s="48">
        <f>G62*Assumptions!$C$54</f>
        <v>7.4977959551511333</v>
      </c>
      <c r="H63" s="48">
        <f>H62*Assumptions!$C$54</f>
        <v>6.3185971367500908</v>
      </c>
      <c r="I63" s="48">
        <f>I62*Assumptions!$C$54</f>
        <v>5.3248541325157595</v>
      </c>
      <c r="J63" s="48">
        <f>J62*Assumptions!$C$54</f>
        <v>4.4873998007655516</v>
      </c>
      <c r="K63" s="48">
        <f>K62*Assumptions!$C$54</f>
        <v>3.7816541957360599</v>
      </c>
      <c r="L63" s="48">
        <f>L62*Assumptions!$C$54</f>
        <v>3.1869031267702983</v>
      </c>
      <c r="M63" s="48">
        <f>M62*Assumptions!$C$54</f>
        <v>2.6856901804691509</v>
      </c>
      <c r="N63" s="74">
        <f>N62*Assumptions!$C$54</f>
        <v>2.2633043611771853</v>
      </c>
      <c r="O63"/>
      <c r="P63" s="12" t="s">
        <v>127</v>
      </c>
      <c r="Q63" s="12"/>
      <c r="R63" s="18">
        <f t="shared" si="14"/>
        <v>0</v>
      </c>
      <c r="S63" s="18">
        <f t="shared" si="14"/>
        <v>0</v>
      </c>
      <c r="T63" s="18">
        <f t="shared" si="14"/>
        <v>0</v>
      </c>
      <c r="U63" s="18">
        <f t="shared" si="14"/>
        <v>0</v>
      </c>
      <c r="V63" s="18">
        <f t="shared" si="14"/>
        <v>0</v>
      </c>
      <c r="W63" s="18">
        <f t="shared" si="14"/>
        <v>0</v>
      </c>
      <c r="X63" s="18">
        <f t="shared" si="14"/>
        <v>0</v>
      </c>
      <c r="Y63" s="18">
        <f t="shared" si="14"/>
        <v>0</v>
      </c>
      <c r="Z63" s="18">
        <f t="shared" si="14"/>
        <v>43.068799999999996</v>
      </c>
      <c r="AA63" s="18">
        <f t="shared" si="14"/>
        <v>39.04900710511933</v>
      </c>
      <c r="AB63" s="18">
        <f t="shared" si="15"/>
        <v>38.686409182000368</v>
      </c>
      <c r="AC63" s="247"/>
      <c r="AD63" s="3"/>
    </row>
    <row r="64" spans="1:30" s="3" customFormat="1" x14ac:dyDescent="0.35">
      <c r="A64" s="401" t="s">
        <v>47</v>
      </c>
      <c r="B64" s="197" t="s">
        <v>150</v>
      </c>
      <c r="C64" s="14" t="s">
        <v>111</v>
      </c>
      <c r="D64" s="14" t="s">
        <v>111</v>
      </c>
      <c r="E64" s="339">
        <f>D29</f>
        <v>0.313</v>
      </c>
      <c r="F64" s="340">
        <f>4593/$N$9</f>
        <v>0.27892147932228095</v>
      </c>
      <c r="G64" s="341">
        <f>F64</f>
        <v>0.27892147932228095</v>
      </c>
      <c r="H64" s="341">
        <f>G64-G64*0.073</f>
        <v>0.25856021133175444</v>
      </c>
      <c r="I64" s="341">
        <f t="shared" ref="I64:N64" si="25">H64-H64*0.073</f>
        <v>0.23968531590453637</v>
      </c>
      <c r="J64" s="341">
        <f t="shared" si="25"/>
        <v>0.22218828784350522</v>
      </c>
      <c r="K64" s="341">
        <f t="shared" si="25"/>
        <v>0.20596854283092936</v>
      </c>
      <c r="L64" s="341">
        <f t="shared" si="25"/>
        <v>0.19093283920427151</v>
      </c>
      <c r="M64" s="341">
        <f t="shared" si="25"/>
        <v>0.1769947419423597</v>
      </c>
      <c r="N64" s="342">
        <f t="shared" si="25"/>
        <v>0.16407412578056743</v>
      </c>
      <c r="O64"/>
      <c r="P64" s="12" t="s">
        <v>129</v>
      </c>
      <c r="Q64" s="12"/>
      <c r="R64" s="18">
        <f t="shared" si="14"/>
        <v>0</v>
      </c>
      <c r="S64" s="18">
        <f t="shared" si="14"/>
        <v>0</v>
      </c>
      <c r="T64" s="18">
        <f t="shared" si="14"/>
        <v>0</v>
      </c>
      <c r="U64" s="18">
        <f t="shared" si="14"/>
        <v>0</v>
      </c>
      <c r="V64" s="18">
        <f t="shared" si="14"/>
        <v>0</v>
      </c>
      <c r="W64" s="18">
        <f t="shared" si="14"/>
        <v>0</v>
      </c>
      <c r="X64" s="18">
        <f t="shared" si="14"/>
        <v>0</v>
      </c>
      <c r="Y64" s="18">
        <f t="shared" si="14"/>
        <v>0</v>
      </c>
      <c r="Z64" s="18">
        <f t="shared" si="14"/>
        <v>0</v>
      </c>
      <c r="AA64" s="18">
        <f t="shared" si="14"/>
        <v>43.068799999999996</v>
      </c>
      <c r="AB64" s="18">
        <f>AA63</f>
        <v>39.04900710511933</v>
      </c>
      <c r="AC64" s="33"/>
    </row>
    <row r="65" spans="1:30" s="3" customFormat="1" ht="29" x14ac:dyDescent="0.35">
      <c r="A65" s="402"/>
      <c r="B65" s="165" t="s">
        <v>151</v>
      </c>
      <c r="C65" s="42" t="s">
        <v>111</v>
      </c>
      <c r="D65" s="42" t="s">
        <v>111</v>
      </c>
      <c r="E65" s="367">
        <v>137.6</v>
      </c>
      <c r="F65" s="368">
        <v>140</v>
      </c>
      <c r="G65" s="368">
        <v>138.69999999999999</v>
      </c>
      <c r="H65" s="368">
        <f>G65-G65*0.073</f>
        <v>128.57489999999999</v>
      </c>
      <c r="I65" s="368">
        <f t="shared" ref="I65:N65" si="26">H65-H65*0.073</f>
        <v>119.18893229999999</v>
      </c>
      <c r="J65" s="368">
        <f t="shared" si="26"/>
        <v>110.48814024209999</v>
      </c>
      <c r="K65" s="368">
        <f t="shared" si="26"/>
        <v>102.42250600442669</v>
      </c>
      <c r="L65" s="368">
        <f t="shared" si="26"/>
        <v>94.945663066103549</v>
      </c>
      <c r="M65" s="368">
        <f t="shared" si="26"/>
        <v>88.014629662277997</v>
      </c>
      <c r="N65" s="369">
        <f t="shared" si="26"/>
        <v>81.58956169693171</v>
      </c>
      <c r="O65"/>
      <c r="P65" s="19" t="s">
        <v>131</v>
      </c>
      <c r="Q65" s="19"/>
      <c r="R65" s="20">
        <f>R56*Assumptions!$C$34+R57*Assumptions!$D$34+R58*Assumptions!$E$34+R59*Assumptions!$F$34+R60*Assumptions!$G$34+R61*Assumptions!$H$34+R62*Assumptions!$I$34+R63*Assumptions!$J$34+R64*Assumptions!$K$34</f>
        <v>0</v>
      </c>
      <c r="S65" s="20">
        <f>S56*Assumptions!$C$34+S57*Assumptions!$D$34+S58*Assumptions!$E$34+S59*Assumptions!$F$34+S60*Assumptions!$G$34+S61*Assumptions!$H$34+S62*Assumptions!$I$34+S63*Assumptions!$J$34+S64*Assumptions!$K$34</f>
        <v>-47.375680000000003</v>
      </c>
      <c r="T65" s="20">
        <f>T56*Assumptions!$C$34+T57*Assumptions!$D$34+T58*Assumptions!$E$34+T59*Assumptions!$F$34+T60*Assumptions!$G$34+T61*Assumptions!$H$34+T62*Assumptions!$I$34+T63*Assumptions!$J$34+T64*Assumptions!$K$34</f>
        <v>-60.181427815631274</v>
      </c>
      <c r="U65" s="20">
        <f>U56*Assumptions!$C$34+U57*Assumptions!$D$34+U58*Assumptions!$E$34+U59*Assumptions!$F$34+U60*Assumptions!$G$34+U61*Assumptions!$H$34+U62*Assumptions!$I$34+U63*Assumptions!$J$34+U64*Assumptions!$K$34</f>
        <v>15.042307057751856</v>
      </c>
      <c r="V65" s="20">
        <f>V56*Assumptions!$C$34+V57*Assumptions!$D$34+V58*Assumptions!$E$34+V59*Assumptions!$F$34+V60*Assumptions!$G$34+V61*Assumptions!$H$34+V62*Assumptions!$I$34+V63*Assumptions!$J$34+V64*Assumptions!$K$34</f>
        <v>100.47755975834758</v>
      </c>
      <c r="W65" s="20">
        <f>W56*Assumptions!$C$34+W57*Assumptions!$D$34+W58*Assumptions!$E$34+W59*Assumptions!$F$34+W60*Assumptions!$G$34+W61*Assumptions!$H$34+W62*Assumptions!$I$34+W63*Assumptions!$J$34+W64*Assumptions!$K$34</f>
        <v>176.66638791354069</v>
      </c>
      <c r="X65" s="20">
        <f>X56*Assumptions!$C$34+X57*Assumptions!$D$34+X58*Assumptions!$E$34+X59*Assumptions!$F$34+X60*Assumptions!$G$34+X61*Assumptions!$H$34+X62*Assumptions!$I$34+X63*Assumptions!$J$34+X64*Assumptions!$K$34</f>
        <v>221.73464925594035</v>
      </c>
      <c r="Y65" s="20">
        <f>Y56*Assumptions!$C$34+Y57*Assumptions!$D$34+Y58*Assumptions!$E$34+Y59*Assumptions!$F$34+Y60*Assumptions!$G$34+Y61*Assumptions!$H$34+Y62*Assumptions!$I$34+Y63*Assumptions!$J$34+Y64*Assumptions!$K$34</f>
        <v>241.19013108101058</v>
      </c>
      <c r="Z65" s="20">
        <f>Z56*Assumptions!$C$34+Z57*Assumptions!$D$34+Z58*Assumptions!$E$34+Z59*Assumptions!$F$34+Z60*Assumptions!$G$34+Z61*Assumptions!$H$34+Z62*Assumptions!$I$34+Z63*Assumptions!$J$34+Z64*Assumptions!$K$34</f>
        <v>250.22118303661597</v>
      </c>
      <c r="AA65" s="20">
        <f>AA56*Assumptions!$C$34+AA57*Assumptions!$D$34+AA58*Assumptions!$E$34+AA59*Assumptions!$F$34+AA60*Assumptions!$G$34+AA61*Assumptions!$H$34+AA62*Assumptions!$I$34+AA63*Assumptions!$J$34+AA64*Assumptions!$K$34</f>
        <v>268.64640807343642</v>
      </c>
      <c r="AB65" s="20">
        <f>AB56*Assumptions!$C$34+AB57*Assumptions!$D$34+AB58*Assumptions!$E$34+AB59*Assumptions!$F$34+AB60*Assumptions!$G$34+AB61*Assumptions!$H$34+AB62*Assumptions!$I$34+AB63*Assumptions!$J$34+AB64*Assumptions!$K$34</f>
        <v>162.17952500698476</v>
      </c>
      <c r="AC65" s="33"/>
      <c r="AD65"/>
    </row>
    <row r="66" spans="1:30" s="3" customFormat="1" x14ac:dyDescent="0.35">
      <c r="A66" s="402"/>
      <c r="B66" s="165" t="s">
        <v>130</v>
      </c>
      <c r="C66" s="42" t="s">
        <v>111</v>
      </c>
      <c r="D66" s="42" t="s">
        <v>111</v>
      </c>
      <c r="E66" s="63">
        <f>PRODUCT(E64:E65)</f>
        <v>43.068799999999996</v>
      </c>
      <c r="F66" s="63">
        <f t="shared" ref="F66:M66" si="27">PRODUCT(F64:F65)</f>
        <v>39.04900710511933</v>
      </c>
      <c r="G66" s="63">
        <f t="shared" si="27"/>
        <v>38.686409182000368</v>
      </c>
      <c r="H66" s="10">
        <f t="shared" si="27"/>
        <v>33.244353315959188</v>
      </c>
      <c r="I66" s="10">
        <f t="shared" si="27"/>
        <v>28.567836890649897</v>
      </c>
      <c r="J66" s="10">
        <f t="shared" si="27"/>
        <v>24.549170707405285</v>
      </c>
      <c r="K66" s="10">
        <f t="shared" si="27"/>
        <v>21.09581431482388</v>
      </c>
      <c r="L66" s="10">
        <f t="shared" si="27"/>
        <v>18.128245019343289</v>
      </c>
      <c r="M66" s="10">
        <f t="shared" si="27"/>
        <v>15.578126664227252</v>
      </c>
      <c r="N66" s="60">
        <f t="shared" ref="N66" si="28">PRODUCT(N64:N65)</f>
        <v>13.386736008243741</v>
      </c>
      <c r="O66"/>
      <c r="AC66" s="33"/>
      <c r="AD66"/>
    </row>
    <row r="67" spans="1:30" s="3" customFormat="1" x14ac:dyDescent="0.35">
      <c r="A67" s="402"/>
      <c r="B67" s="165" t="s">
        <v>112</v>
      </c>
      <c r="C67" s="42" t="s">
        <v>111</v>
      </c>
      <c r="D67" s="42" t="s">
        <v>111</v>
      </c>
      <c r="E67" s="11">
        <f t="shared" ref="E67:N67" si="29">S65</f>
        <v>-47.375680000000003</v>
      </c>
      <c r="F67" s="11">
        <f t="shared" si="29"/>
        <v>-60.181427815631274</v>
      </c>
      <c r="G67" s="11">
        <f t="shared" si="29"/>
        <v>15.042307057751856</v>
      </c>
      <c r="H67" s="11">
        <f t="shared" si="29"/>
        <v>100.47755975834758</v>
      </c>
      <c r="I67" s="11">
        <f t="shared" si="29"/>
        <v>176.66638791354069</v>
      </c>
      <c r="J67" s="11">
        <f t="shared" si="29"/>
        <v>221.73464925594035</v>
      </c>
      <c r="K67" s="11">
        <f t="shared" si="29"/>
        <v>241.19013108101058</v>
      </c>
      <c r="L67" s="11">
        <f t="shared" si="29"/>
        <v>250.22118303661597</v>
      </c>
      <c r="M67" s="11">
        <f t="shared" si="29"/>
        <v>268.64640807343642</v>
      </c>
      <c r="N67" s="61">
        <f t="shared" si="29"/>
        <v>162.17952500698476</v>
      </c>
      <c r="O67"/>
      <c r="AC67" s="33"/>
    </row>
    <row r="68" spans="1:30" s="3" customFormat="1" x14ac:dyDescent="0.35">
      <c r="A68" s="402"/>
      <c r="B68" s="165" t="s">
        <v>132</v>
      </c>
      <c r="C68" s="42" t="s">
        <v>111</v>
      </c>
      <c r="D68" s="42" t="s">
        <v>111</v>
      </c>
      <c r="E68" s="41">
        <f>(E67/Assumptions!$C$15)+(E66*Assumptions!$C$20)</f>
        <v>-0.51682560000000011</v>
      </c>
      <c r="F68" s="41">
        <f>(F67/Assumptions!$C$15)+(F66*Assumptions!$C$20)</f>
        <v>-0.81313848526143206</v>
      </c>
      <c r="G68" s="41">
        <f>(G67/Assumptions!$C$15)+(G66*Assumptions!$C$20)</f>
        <v>0.68771023297504086</v>
      </c>
      <c r="H68" s="41">
        <f>(H67/Assumptions!$C$15)+(H66*Assumptions!$C$20)</f>
        <v>2.3419947283265437</v>
      </c>
      <c r="I68" s="41">
        <f>(I67/Assumptions!$C$15)+(I66*Assumptions!$C$20)</f>
        <v>3.8190061271773126</v>
      </c>
      <c r="J68" s="41">
        <f>(J67/Assumptions!$C$15)+(J66*Assumptions!$C$20)</f>
        <v>4.68018469219286</v>
      </c>
      <c r="K68" s="41">
        <f>(K67/Assumptions!$C$15)+(K66*Assumptions!$C$20)</f>
        <v>5.0347607647684507</v>
      </c>
      <c r="L68" s="41">
        <f>(L67/Assumptions!$C$15)+(L66*Assumptions!$C$20)</f>
        <v>5.1857061109257527</v>
      </c>
      <c r="M68" s="41">
        <f>(M67/Assumptions!$C$15)+(M66*Assumptions!$C$20)</f>
        <v>5.528709428111001</v>
      </c>
      <c r="N68" s="343">
        <f>(N67/Assumptions!$C$15)+(N66*Assumptions!$C$20)</f>
        <v>3.3774578602221328</v>
      </c>
      <c r="O68"/>
      <c r="AC68" s="33"/>
    </row>
    <row r="69" spans="1:30" s="3" customFormat="1" x14ac:dyDescent="0.35">
      <c r="A69" s="402"/>
      <c r="B69" s="165" t="s">
        <v>146</v>
      </c>
      <c r="C69" s="42" t="s">
        <v>111</v>
      </c>
      <c r="D69" s="42" t="s">
        <v>111</v>
      </c>
      <c r="E69" s="355">
        <f>E68*$G$11*Assumptions!F25</f>
        <v>-1.723629502644636</v>
      </c>
      <c r="F69" s="355">
        <f>F68*$G$11*Assumptions!G25</f>
        <v>-2.7118422209201216</v>
      </c>
      <c r="G69" s="355">
        <f>G68*$G$11*Assumptions!H25</f>
        <v>2.2935350857743813</v>
      </c>
      <c r="H69" s="355">
        <f>H68*$G$11*Assumptions!I25</f>
        <v>7.8106254968442705</v>
      </c>
      <c r="I69" s="355">
        <f>I68*$G$11*Assumptions!J25</f>
        <v>12.736504599585329</v>
      </c>
      <c r="J69" s="355">
        <f>J68*$G$11*Assumptions!K25</f>
        <v>15.608561985492623</v>
      </c>
      <c r="K69" s="355">
        <f>K68*$G$11*Assumptions!L25</f>
        <v>16.79108425146233</v>
      </c>
      <c r="L69" s="355">
        <f>L68*$G$11*Assumptions!M25</f>
        <v>17.294491690884126</v>
      </c>
      <c r="M69" s="355">
        <f>M68*$G$11*Assumptions!N25</f>
        <v>18.438418456519322</v>
      </c>
      <c r="N69" s="361">
        <f>N68*$G$11*Assumptions!O25</f>
        <v>11.263927351543519</v>
      </c>
      <c r="O69"/>
      <c r="AC69" s="33"/>
    </row>
    <row r="70" spans="1:30" s="3" customFormat="1" ht="29" x14ac:dyDescent="0.35">
      <c r="A70" s="402"/>
      <c r="B70" s="195" t="s">
        <v>148</v>
      </c>
      <c r="C70" s="327" t="s">
        <v>111</v>
      </c>
      <c r="D70" s="327" t="s">
        <v>111</v>
      </c>
      <c r="E70" s="356">
        <f>E67*Assumptions!F42-E69</f>
        <v>-1109.2258379146617</v>
      </c>
      <c r="F70" s="356">
        <f>F67*Assumptions!G42-F69</f>
        <v>-1110.8769271726624</v>
      </c>
      <c r="G70" s="356">
        <f>G67*Assumptions!H42-G69</f>
        <v>507.03643582541486</v>
      </c>
      <c r="H70" s="356">
        <f>H67*Assumptions!I42-H69</f>
        <v>3394.3425410663563</v>
      </c>
      <c r="I70" s="356">
        <f>I67*Assumptions!J42-I69</f>
        <v>5969.1574875601991</v>
      </c>
      <c r="J70" s="356">
        <f>J67*Assumptions!K42-J69</f>
        <v>7492.2891309638553</v>
      </c>
      <c r="K70" s="356">
        <f>K67*Assumptions!L42-K69</f>
        <v>8149.8659302555179</v>
      </c>
      <c r="L70" s="356">
        <f>L67*Assumptions!M42-L69</f>
        <v>8455.152413435002</v>
      </c>
      <c r="M70" s="356">
        <f>M67*Assumptions!N42-M69</f>
        <v>9077.8834877583577</v>
      </c>
      <c r="N70" s="362">
        <f>N67*Assumptions!O42-N69</f>
        <v>5480.1073388419445</v>
      </c>
      <c r="O70"/>
      <c r="AC70" s="33"/>
    </row>
    <row r="71" spans="1:30" s="3" customFormat="1" ht="29" x14ac:dyDescent="0.35">
      <c r="A71" s="402"/>
      <c r="B71" s="195" t="s">
        <v>149</v>
      </c>
      <c r="C71" s="327" t="s">
        <v>111</v>
      </c>
      <c r="D71" s="327" t="s">
        <v>111</v>
      </c>
      <c r="E71" s="356">
        <f>E70/(1+Assumptions!$C$12)^(E$20-2022)</f>
        <v>-1008.3871253769652</v>
      </c>
      <c r="F71" s="356">
        <f>F70/(1+Assumptions!$C$12)^(F$20-2022)</f>
        <v>-918.08010510137376</v>
      </c>
      <c r="G71" s="356">
        <f>G70/(1+Assumptions!$C$12)^(G$20-2022)</f>
        <v>380.94397883201708</v>
      </c>
      <c r="H71" s="356">
        <f>H70/(1+Assumptions!$C$12)^(H$20-2022)</f>
        <v>2318.3816276663856</v>
      </c>
      <c r="I71" s="356">
        <f>I70/(1+Assumptions!$C$12)^(I$20-2022)</f>
        <v>3706.3771647243402</v>
      </c>
      <c r="J71" s="356">
        <f>J70/(1+Assumptions!$C$12)^(J$20-2022)</f>
        <v>4229.201890854366</v>
      </c>
      <c r="K71" s="356">
        <f>K70/(1+Assumptions!$C$12)^(K$20-2022)</f>
        <v>4182.169864602467</v>
      </c>
      <c r="L71" s="356">
        <f>L70/(1+Assumptions!$C$12)^(L$20-2022)</f>
        <v>3944.3910016655655</v>
      </c>
      <c r="M71" s="356">
        <f>M70/(1+Assumptions!$C$12)^(M$20-2022)</f>
        <v>3849.9087670212239</v>
      </c>
      <c r="N71" s="362">
        <f>N70/(1+Assumptions!$C$12)^(N$20-2022)</f>
        <v>2112.8186098440392</v>
      </c>
      <c r="O71"/>
      <c r="AC71" s="33"/>
    </row>
    <row r="72" spans="1:30" s="3" customFormat="1" ht="29" x14ac:dyDescent="0.35">
      <c r="A72" s="402"/>
      <c r="B72" s="195" t="s">
        <v>122</v>
      </c>
      <c r="C72" s="327" t="s">
        <v>111</v>
      </c>
      <c r="D72" s="327" t="s">
        <v>111</v>
      </c>
      <c r="E72" s="356">
        <f>E71/(Assumptions!$I$47/Assumptions!$H$47)</f>
        <v>-756.19827339149197</v>
      </c>
      <c r="F72" s="356">
        <f>F71/(Assumptions!$I$47/Assumptions!$H$47)</f>
        <v>-688.47625365427666</v>
      </c>
      <c r="G72" s="356">
        <f>G71/(Assumptions!$I$47/Assumptions!$H$47)</f>
        <v>285.67320208889771</v>
      </c>
      <c r="H72" s="356">
        <f>H71/(Assumptions!$I$47/Assumptions!$H$47)</f>
        <v>1738.5745412492206</v>
      </c>
      <c r="I72" s="356">
        <f>I71/(Assumptions!$I$47/Assumptions!$H$47)</f>
        <v>2779.4444633101061</v>
      </c>
      <c r="J72" s="356">
        <f>J71/(Assumptions!$I$47/Assumptions!$H$47)</f>
        <v>3171.5152714713149</v>
      </c>
      <c r="K72" s="356">
        <f>K71/(Assumptions!$I$47/Assumptions!$H$47)</f>
        <v>3136.2455460347733</v>
      </c>
      <c r="L72" s="356">
        <f>L71/(Assumptions!$I$47/Assumptions!$H$47)</f>
        <v>2957.933109196927</v>
      </c>
      <c r="M72" s="356">
        <f>M71/(Assumptions!$I$47/Assumptions!$H$47)</f>
        <v>2887.0800599004956</v>
      </c>
      <c r="N72" s="362">
        <f>N71/(Assumptions!$I$47/Assumptions!$H$47)</f>
        <v>1584.4210467841933</v>
      </c>
      <c r="O72"/>
      <c r="AC72" s="33"/>
    </row>
    <row r="73" spans="1:30" s="3" customFormat="1" ht="29.5" thickBot="1" x14ac:dyDescent="0.4">
      <c r="A73" s="403"/>
      <c r="B73" s="335" t="s">
        <v>124</v>
      </c>
      <c r="C73" s="332" t="s">
        <v>111</v>
      </c>
      <c r="D73" s="332" t="s">
        <v>111</v>
      </c>
      <c r="E73" s="330">
        <f>E72*Assumptions!$C$54</f>
        <v>-13.853552368532132</v>
      </c>
      <c r="F73" s="330">
        <f>F72*Assumptions!$C$54</f>
        <v>-12.612884966946348</v>
      </c>
      <c r="G73" s="330">
        <f>G72*Assumptions!$C$54</f>
        <v>5.2335330622686058</v>
      </c>
      <c r="H73" s="330">
        <f>H72*Assumptions!$C$54</f>
        <v>31.850685595685722</v>
      </c>
      <c r="I73" s="330">
        <f>I72*Assumptions!$C$54</f>
        <v>50.919422567841146</v>
      </c>
      <c r="J73" s="330">
        <f>J72*Assumptions!$C$54</f>
        <v>58.102159773354487</v>
      </c>
      <c r="K73" s="330">
        <f>K72*Assumptions!$C$54</f>
        <v>57.456018403357042</v>
      </c>
      <c r="L73" s="330">
        <f>L72*Assumptions!$C$54</f>
        <v>54.189334560487701</v>
      </c>
      <c r="M73" s="330">
        <f>M72*Assumptions!$C$54</f>
        <v>52.891306697377075</v>
      </c>
      <c r="N73" s="331">
        <f>N72*Assumptions!$C$54</f>
        <v>29.02659357708642</v>
      </c>
      <c r="O73"/>
      <c r="AC73" s="33"/>
    </row>
    <row r="74" spans="1:30" s="3" customFormat="1" x14ac:dyDescent="0.35">
      <c r="A74" s="397" t="s">
        <v>49</v>
      </c>
      <c r="B74" s="197" t="s">
        <v>152</v>
      </c>
      <c r="C74" s="13" t="s">
        <v>111</v>
      </c>
      <c r="D74" s="13" t="s">
        <v>111</v>
      </c>
      <c r="E74" s="13" t="s">
        <v>111</v>
      </c>
      <c r="F74" s="363">
        <f>E38*(Assumptions!K47/Assumptions!J47)</f>
        <v>356.59945243627186</v>
      </c>
      <c r="G74" s="59"/>
      <c r="H74" s="59"/>
      <c r="I74" s="59"/>
      <c r="J74" s="59"/>
      <c r="K74" s="59"/>
      <c r="L74" s="59"/>
      <c r="M74" s="59"/>
      <c r="N74" s="344"/>
      <c r="O74"/>
      <c r="AC74" s="33"/>
    </row>
    <row r="75" spans="1:30" s="3" customFormat="1" ht="29" x14ac:dyDescent="0.35">
      <c r="A75" s="398"/>
      <c r="B75" s="195" t="s">
        <v>153</v>
      </c>
      <c r="C75" s="327" t="s">
        <v>111</v>
      </c>
      <c r="D75" s="327" t="s">
        <v>111</v>
      </c>
      <c r="E75" s="327" t="s">
        <v>111</v>
      </c>
      <c r="F75" s="356">
        <f>F74/(Assumptions!K$47/Assumptions!$H$47)</f>
        <v>162.23762387178942</v>
      </c>
      <c r="G75" s="356">
        <f>F75</f>
        <v>162.23762387178942</v>
      </c>
      <c r="H75" s="356">
        <f t="shared" ref="H75:N75" si="30">G75</f>
        <v>162.23762387178942</v>
      </c>
      <c r="I75" s="356">
        <f t="shared" si="30"/>
        <v>162.23762387178942</v>
      </c>
      <c r="J75" s="356">
        <f t="shared" si="30"/>
        <v>162.23762387178942</v>
      </c>
      <c r="K75" s="356">
        <f t="shared" si="30"/>
        <v>162.23762387178942</v>
      </c>
      <c r="L75" s="356">
        <f t="shared" si="30"/>
        <v>162.23762387178942</v>
      </c>
      <c r="M75" s="356">
        <f t="shared" si="30"/>
        <v>162.23762387178942</v>
      </c>
      <c r="N75" s="362">
        <f t="shared" si="30"/>
        <v>162.23762387178942</v>
      </c>
      <c r="O75"/>
      <c r="AC75" s="33"/>
    </row>
    <row r="76" spans="1:30" s="3" customFormat="1" ht="29" x14ac:dyDescent="0.35">
      <c r="A76" s="398"/>
      <c r="B76" s="195" t="s">
        <v>154</v>
      </c>
      <c r="C76" s="327" t="s">
        <v>111</v>
      </c>
      <c r="D76" s="327" t="s">
        <v>111</v>
      </c>
      <c r="E76" s="327" t="s">
        <v>111</v>
      </c>
      <c r="F76" s="356">
        <f>F75/(1+Assumptions!$C$12)^(F$20-2022)</f>
        <v>134.08068088577636</v>
      </c>
      <c r="G76" s="356">
        <f>G75/(1+Assumptions!$C$12)^(G$20-2022)</f>
        <v>121.89152807797849</v>
      </c>
      <c r="H76" s="356">
        <f>H75/(1+Assumptions!$C$12)^(H$20-2022)</f>
        <v>110.81048007088954</v>
      </c>
      <c r="I76" s="356">
        <f>I75/(1+Assumptions!$C$12)^(I$20-2022)</f>
        <v>100.73680006444503</v>
      </c>
      <c r="J76" s="356">
        <f>J75/(1+Assumptions!$C$12)^(J$20-2022)</f>
        <v>91.578909149495473</v>
      </c>
      <c r="K76" s="356">
        <f>K75/(1+Assumptions!$C$12)^(K$20-2022)</f>
        <v>83.253553772268603</v>
      </c>
      <c r="L76" s="356">
        <f>L75/(1+Assumptions!$C$12)^(L$20-2022)</f>
        <v>75.685048883880555</v>
      </c>
      <c r="M76" s="356">
        <f>M75/(1+Assumptions!$C$12)^(M$20-2022)</f>
        <v>68.804589894436859</v>
      </c>
      <c r="N76" s="362">
        <f>N75/(1+Assumptions!$C$12)^(N$20-2022)</f>
        <v>62.549627176760772</v>
      </c>
      <c r="O76"/>
      <c r="AC76" s="33"/>
    </row>
    <row r="77" spans="1:30" s="3" customFormat="1" ht="29" x14ac:dyDescent="0.35">
      <c r="A77" s="398"/>
      <c r="B77" s="195" t="s">
        <v>155</v>
      </c>
      <c r="C77" s="327" t="s">
        <v>111</v>
      </c>
      <c r="D77" s="327" t="s">
        <v>111</v>
      </c>
      <c r="E77" s="327" t="s">
        <v>111</v>
      </c>
      <c r="F77" s="356">
        <f>F76/(Assumptions!$I$47/Assumptions!$H$47)</f>
        <v>100.54826844707732</v>
      </c>
      <c r="G77" s="356">
        <f>G76/(Assumptions!$I$47/Assumptions!$H$47)</f>
        <v>91.407516770070274</v>
      </c>
      <c r="H77" s="356">
        <f>H76/(Assumptions!$I$47/Assumptions!$H$47)</f>
        <v>83.09774251824571</v>
      </c>
      <c r="I77" s="356">
        <f>I76/(Assumptions!$I$47/Assumptions!$H$47)</f>
        <v>75.543402289314272</v>
      </c>
      <c r="J77" s="356">
        <f>J76/(Assumptions!$I$47/Assumptions!$H$47)</f>
        <v>68.675820263012966</v>
      </c>
      <c r="K77" s="356">
        <f>K76/(Assumptions!$I$47/Assumptions!$H$47)</f>
        <v>62.432563875466329</v>
      </c>
      <c r="L77" s="356">
        <f>L76/(Assumptions!$I$47/Assumptions!$H$47)</f>
        <v>56.756876250423943</v>
      </c>
      <c r="M77" s="356">
        <f>M76/(Assumptions!$I$47/Assumptions!$H$47)</f>
        <v>51.597160227658122</v>
      </c>
      <c r="N77" s="362">
        <f>N76/(Assumptions!$I$47/Assumptions!$H$47)</f>
        <v>46.906509297871011</v>
      </c>
      <c r="O77"/>
      <c r="AC77" s="33"/>
    </row>
    <row r="78" spans="1:30" s="3" customFormat="1" ht="29.5" thickBot="1" x14ac:dyDescent="0.4">
      <c r="A78" s="399"/>
      <c r="B78" s="196" t="s">
        <v>137</v>
      </c>
      <c r="C78" s="332" t="s">
        <v>111</v>
      </c>
      <c r="D78" s="332" t="s">
        <v>111</v>
      </c>
      <c r="E78" s="332" t="s">
        <v>111</v>
      </c>
      <c r="F78" s="330">
        <f>F77*Assumptions!$C$54</f>
        <v>1.8420442779504564</v>
      </c>
      <c r="G78" s="330">
        <f>G77*Assumptions!$C$54</f>
        <v>1.6745857072276873</v>
      </c>
      <c r="H78" s="330">
        <f>H77*Assumptions!$C$54</f>
        <v>1.5223506429342613</v>
      </c>
      <c r="I78" s="330">
        <f>I77*Assumptions!$C$54</f>
        <v>1.3839551299402375</v>
      </c>
      <c r="J78" s="330">
        <f>J77*Assumptions!$C$54</f>
        <v>1.2581410272183975</v>
      </c>
      <c r="K78" s="330">
        <f>K77*Assumptions!$C$54</f>
        <v>1.1437645701985431</v>
      </c>
      <c r="L78" s="330">
        <f>L77*Assumptions!$C$54</f>
        <v>1.0397859729077665</v>
      </c>
      <c r="M78" s="330">
        <f>M77*Assumptions!$C$54</f>
        <v>0.94525997537069673</v>
      </c>
      <c r="N78" s="331">
        <f>N77*Assumptions!$C$54</f>
        <v>0.85932725033699686</v>
      </c>
      <c r="O78"/>
      <c r="AC78" s="33"/>
    </row>
    <row r="79" spans="1:30" s="3" customFormat="1" x14ac:dyDescent="0.35">
      <c r="A79" s="397" t="s">
        <v>138</v>
      </c>
      <c r="B79" s="194" t="s">
        <v>139</v>
      </c>
      <c r="C79" s="13" t="s">
        <v>111</v>
      </c>
      <c r="D79" s="13" t="s">
        <v>111</v>
      </c>
      <c r="E79" s="81">
        <v>0.15</v>
      </c>
      <c r="F79" s="81">
        <v>0.15</v>
      </c>
      <c r="G79" s="81">
        <v>0.15</v>
      </c>
      <c r="H79" s="81">
        <v>0.15</v>
      </c>
      <c r="I79" s="81">
        <v>0.15</v>
      </c>
      <c r="J79" s="81">
        <v>0.15</v>
      </c>
      <c r="K79" s="81">
        <v>0.15</v>
      </c>
      <c r="L79" s="81">
        <v>0.15</v>
      </c>
      <c r="M79" s="81">
        <v>0.15</v>
      </c>
      <c r="N79" s="86">
        <v>0.15</v>
      </c>
      <c r="O79"/>
      <c r="AC79" s="33"/>
    </row>
    <row r="80" spans="1:30" s="3" customFormat="1" x14ac:dyDescent="0.35">
      <c r="A80" s="398"/>
      <c r="B80" s="75" t="s">
        <v>140</v>
      </c>
      <c r="C80" s="42" t="s">
        <v>111</v>
      </c>
      <c r="D80" s="42" t="s">
        <v>111</v>
      </c>
      <c r="E80" s="82">
        <v>0.14000000000000001</v>
      </c>
      <c r="F80" s="82">
        <v>0.14000000000000001</v>
      </c>
      <c r="G80" s="82">
        <v>0.14000000000000001</v>
      </c>
      <c r="H80" s="82">
        <v>0.14000000000000001</v>
      </c>
      <c r="I80" s="82">
        <v>0.14000000000000001</v>
      </c>
      <c r="J80" s="82">
        <v>0.14000000000000001</v>
      </c>
      <c r="K80" s="82">
        <v>0.14000000000000001</v>
      </c>
      <c r="L80" s="82">
        <v>0.14000000000000001</v>
      </c>
      <c r="M80" s="82">
        <v>0.14000000000000001</v>
      </c>
      <c r="N80" s="145">
        <v>0.14000000000000001</v>
      </c>
      <c r="O80"/>
      <c r="AC80" s="33"/>
    </row>
    <row r="81" spans="1:29" s="3" customFormat="1" ht="29" x14ac:dyDescent="0.35">
      <c r="A81" s="398"/>
      <c r="B81" s="195" t="s">
        <v>153</v>
      </c>
      <c r="C81" s="327" t="s">
        <v>111</v>
      </c>
      <c r="D81" s="327" t="s">
        <v>111</v>
      </c>
      <c r="E81" s="69">
        <f>(E79*E80*$B$9*$B$8*Assumptions!F42)+(E79*E80*E67*Assumptions!F42)+(E79*E80*E56*Assumptions!F42)</f>
        <v>209.68951379225535</v>
      </c>
      <c r="F81" s="69">
        <f>(F79*F80*$B$9*$B$8*Assumptions!G42)+(F79*F80*F67*Assumptions!G42)+(F79*F80*F56*Assumptions!G42)</f>
        <v>160.4866715772821</v>
      </c>
      <c r="G81" s="69">
        <f>(G79*G80*$B$9*$B$8*Assumptions!H42)+(G79*G80*G67*Assumptions!H42)+(G79*G80*G56*Assumptions!H42)</f>
        <v>345.95590853913143</v>
      </c>
      <c r="H81" s="69">
        <f>(H79*H80*$B$9*$B$8*Assumptions!I42)+(H79*H80*H67*Assumptions!I42)+(H79*H80*H56*Assumptions!I42)</f>
        <v>405.58942140570724</v>
      </c>
      <c r="I81" s="69">
        <f>(I79*I80*$B$9*$B$8*Assumptions!J42)+(I79*I80*I67*Assumptions!J42)+(I79*I80*I56*Assumptions!J42)</f>
        <v>458.72965602079353</v>
      </c>
      <c r="J81" s="69">
        <f>(J79*J80*$B$9*$B$8*Assumptions!K42)+(J79*J80*J67*Assumptions!K42)+(J79*J80*J56*Assumptions!K42)</f>
        <v>489.81691657367065</v>
      </c>
      <c r="K81" s="69">
        <f>(K79*K80*$B$9*$B$8*Assumptions!L42)+(K79*K80*K67*Assumptions!L42)+(K79*K80*K56*Assumptions!L42)</f>
        <v>502.76203881562753</v>
      </c>
      <c r="L81" s="69">
        <f>(L79*L80*$B$9*$B$8*Assumptions!M42)+(L79*L80*L67*Assumptions!M42)+(L79*L80*L56*Assumptions!M42)</f>
        <v>508.35968712415621</v>
      </c>
      <c r="M81" s="69">
        <f>(M79*M80*$B$9*$B$8*Assumptions!N42)+(M79*M80*M67*Assumptions!N42)+(M79*M80*M56*Assumptions!N42)</f>
        <v>520.69727032835283</v>
      </c>
      <c r="N81" s="146">
        <f>(N79*N80*$B$9*$B$8*Assumptions!O42)+(N79*N80*N67*Assumptions!O42)+(N79*N80*N56*Assumptions!O42)</f>
        <v>444.28527187199461</v>
      </c>
      <c r="O81"/>
      <c r="AC81" s="33"/>
    </row>
    <row r="82" spans="1:29" s="3" customFormat="1" ht="29" x14ac:dyDescent="0.35">
      <c r="A82" s="398"/>
      <c r="B82" s="195" t="s">
        <v>154</v>
      </c>
      <c r="C82" s="327" t="s">
        <v>111</v>
      </c>
      <c r="D82" s="327" t="s">
        <v>111</v>
      </c>
      <c r="E82" s="69">
        <f>E81/(1+Assumptions!$C$12)^(E$20-2022)</f>
        <v>190.62683072023214</v>
      </c>
      <c r="F82" s="69">
        <f>F81/(1+Assumptions!$C$12)^(F$20-2022)</f>
        <v>132.63361287378683</v>
      </c>
      <c r="G82" s="69">
        <f>G81/(1+Assumptions!$C$12)^(G$20-2022)</f>
        <v>259.92179454480191</v>
      </c>
      <c r="H82" s="69">
        <f>H81/(1+Assumptions!$C$12)^(H$20-2022)</f>
        <v>277.02303217383178</v>
      </c>
      <c r="I82" s="69">
        <f>I81/(1+Assumptions!$C$12)^(I$20-2022)</f>
        <v>284.83502494290218</v>
      </c>
      <c r="J82" s="69">
        <f>J81/(1+Assumptions!$C$12)^(J$20-2022)</f>
        <v>276.48887990516295</v>
      </c>
      <c r="K82" s="69">
        <f>K81/(1+Assumptions!$C$12)^(K$20-2022)</f>
        <v>257.99642175646079</v>
      </c>
      <c r="L82" s="69">
        <f>L81/(1+Assumptions!$C$12)^(L$20-2022)</f>
        <v>237.15354584452973</v>
      </c>
      <c r="M82" s="69">
        <f>M81/(1+Assumptions!$C$12)^(M$20-2022)</f>
        <v>220.82647223930826</v>
      </c>
      <c r="N82" s="146">
        <f>N81/(1+Assumptions!$C$12)^(N$20-2022)</f>
        <v>171.2912051626225</v>
      </c>
      <c r="O82"/>
      <c r="AC82" s="33"/>
    </row>
    <row r="83" spans="1:29" s="3" customFormat="1" ht="29" x14ac:dyDescent="0.35">
      <c r="A83" s="398"/>
      <c r="B83" s="195" t="s">
        <v>120</v>
      </c>
      <c r="C83" s="327" t="s">
        <v>111</v>
      </c>
      <c r="D83" s="327" t="s">
        <v>111</v>
      </c>
      <c r="E83" s="69">
        <f>E82/(Assumptions!$I$47/Assumptions!$H$47)</f>
        <v>142.95271788485357</v>
      </c>
      <c r="F83" s="69">
        <f>F82/(Assumptions!$I$47/Assumptions!$H$47)</f>
        <v>99.463099562421561</v>
      </c>
      <c r="G83" s="69">
        <f>G82/(Assumptions!$I$47/Assumptions!$H$47)</f>
        <v>194.91761378659032</v>
      </c>
      <c r="H83" s="69">
        <f>H82/(Assumptions!$I$47/Assumptions!$H$47)</f>
        <v>207.74198058232432</v>
      </c>
      <c r="I83" s="69">
        <f>I82/(Assumptions!$I$47/Assumptions!$H$47)</f>
        <v>213.60026188625258</v>
      </c>
      <c r="J83" s="69">
        <f>J82/(Assumptions!$I$47/Assumptions!$H$47)</f>
        <v>207.34141515151862</v>
      </c>
      <c r="K83" s="69">
        <f>K82/(Assumptions!$I$47/Assumptions!$H$47)</f>
        <v>193.47375999121957</v>
      </c>
      <c r="L83" s="69">
        <f>L82/(Assumptions!$I$47/Assumptions!$H$47)</f>
        <v>177.84350611305416</v>
      </c>
      <c r="M83" s="69">
        <f>M82/(Assumptions!$I$47/Assumptions!$H$47)</f>
        <v>165.59969165024179</v>
      </c>
      <c r="N83" s="146">
        <f>N82/(Assumptions!$I$47/Assumptions!$H$47)</f>
        <v>128.45276415315271</v>
      </c>
      <c r="O83"/>
      <c r="AC83" s="33"/>
    </row>
    <row r="84" spans="1:29" s="3" customFormat="1" ht="29.5" thickBot="1" x14ac:dyDescent="0.4">
      <c r="A84" s="399"/>
      <c r="B84" s="196" t="s">
        <v>137</v>
      </c>
      <c r="C84" s="332" t="s">
        <v>111</v>
      </c>
      <c r="D84" s="332" t="s">
        <v>111</v>
      </c>
      <c r="E84" s="330">
        <f>E83*Assumptions!$C$54</f>
        <v>2.6188937916505175</v>
      </c>
      <c r="F84" s="330">
        <f>F83*Assumptions!$C$54</f>
        <v>1.8221639839835631</v>
      </c>
      <c r="G84" s="330">
        <f>G83*Assumptions!$C$54</f>
        <v>3.5708906845703345</v>
      </c>
      <c r="H84" s="330">
        <f>H83*Assumptions!$C$54</f>
        <v>3.8058330842681816</v>
      </c>
      <c r="I84" s="330">
        <f>I83*Assumptions!$C$54</f>
        <v>3.9131567977561472</v>
      </c>
      <c r="J84" s="330">
        <f>J83*Assumptions!$C$54</f>
        <v>3.798494725575821</v>
      </c>
      <c r="K84" s="330">
        <f>K83*Assumptions!$C$54</f>
        <v>3.5444392830391425</v>
      </c>
      <c r="L84" s="330">
        <f>L83*Assumptions!$C$54</f>
        <v>3.2580930319911521</v>
      </c>
      <c r="M84" s="330">
        <f>M83*Assumptions!$C$54</f>
        <v>3.0337863510324294</v>
      </c>
      <c r="N84" s="331">
        <f>N83*Assumptions!$C$54</f>
        <v>2.3532546392857578</v>
      </c>
      <c r="O84"/>
      <c r="AC84" s="33"/>
    </row>
    <row r="85" spans="1:29" ht="18" x14ac:dyDescent="0.4">
      <c r="A85" s="400" t="s">
        <v>137</v>
      </c>
      <c r="B85" s="400"/>
      <c r="C85" s="55">
        <f>SUM(C66,C75,C79,C84)</f>
        <v>0</v>
      </c>
      <c r="D85" s="55">
        <f>SUM(D66,D75,D79,D84)</f>
        <v>0</v>
      </c>
      <c r="E85" s="55">
        <f>SUM(E63,E73,E78,E84)</f>
        <v>-4.4627261947326788</v>
      </c>
      <c r="F85" s="55">
        <f t="shared" ref="F85:N85" si="31">SUM(F63,F73,F78,F84)</f>
        <v>-4.0945380323954819</v>
      </c>
      <c r="G85" s="55">
        <f t="shared" si="31"/>
        <v>17.976805409217761</v>
      </c>
      <c r="H85" s="55">
        <f t="shared" si="31"/>
        <v>43.497466459638254</v>
      </c>
      <c r="I85" s="55">
        <f t="shared" si="31"/>
        <v>61.541388628053291</v>
      </c>
      <c r="J85" s="55">
        <f t="shared" si="31"/>
        <v>67.646195326914253</v>
      </c>
      <c r="K85" s="55">
        <f t="shared" si="31"/>
        <v>65.925876452330783</v>
      </c>
      <c r="L85" s="55">
        <f t="shared" si="31"/>
        <v>61.674116692156915</v>
      </c>
      <c r="M85" s="55">
        <f t="shared" si="31"/>
        <v>59.556043204249356</v>
      </c>
      <c r="N85" s="55">
        <f t="shared" si="31"/>
        <v>34.502479827886361</v>
      </c>
      <c r="AC85" s="209"/>
    </row>
    <row r="86" spans="1:29" x14ac:dyDescent="0.35">
      <c r="A86" s="210"/>
      <c r="AC86" s="209"/>
    </row>
    <row r="87" spans="1:29" ht="21.65" customHeight="1" x14ac:dyDescent="0.35">
      <c r="A87" s="407" t="s">
        <v>156</v>
      </c>
      <c r="B87" s="407"/>
      <c r="C87" s="408">
        <f>SUM(C85:N85)</f>
        <v>403.76310777331884</v>
      </c>
      <c r="D87" s="409"/>
      <c r="E87" s="409"/>
      <c r="F87" s="26"/>
      <c r="AC87" s="209"/>
    </row>
    <row r="88" spans="1:29" ht="17.649999999999999" customHeight="1" x14ac:dyDescent="0.35">
      <c r="A88" s="407"/>
      <c r="B88" s="407"/>
      <c r="C88" s="409"/>
      <c r="D88" s="409"/>
      <c r="E88" s="409"/>
      <c r="AC88" s="209"/>
    </row>
    <row r="89" spans="1:29" x14ac:dyDescent="0.35">
      <c r="A89" s="210"/>
      <c r="E89" s="240"/>
      <c r="AC89" s="209"/>
    </row>
    <row r="90" spans="1:29" x14ac:dyDescent="0.35">
      <c r="A90" s="210"/>
      <c r="AC90" s="209"/>
    </row>
    <row r="91" spans="1:29" ht="18" x14ac:dyDescent="0.4">
      <c r="A91" s="211" t="s">
        <v>157</v>
      </c>
      <c r="B91" s="230"/>
      <c r="C91" s="67"/>
      <c r="D91" s="66"/>
      <c r="E91" s="65"/>
      <c r="F91" s="65"/>
      <c r="G91" s="65"/>
      <c r="H91" s="65"/>
      <c r="I91" s="65"/>
      <c r="J91" s="65"/>
      <c r="K91" s="65"/>
      <c r="L91" s="65"/>
      <c r="M91" s="65"/>
      <c r="N91" s="65"/>
      <c r="O91" s="65"/>
      <c r="P91" s="65"/>
      <c r="Q91" s="65"/>
      <c r="R91" s="65"/>
      <c r="S91" s="65"/>
      <c r="T91" s="65"/>
      <c r="U91" s="65"/>
      <c r="V91" s="65"/>
      <c r="W91" s="65"/>
      <c r="X91" s="65"/>
      <c r="Y91" s="65"/>
      <c r="Z91" s="65"/>
      <c r="AA91" s="65"/>
      <c r="AB91" s="65"/>
      <c r="AC91" s="231"/>
    </row>
    <row r="92" spans="1:29" x14ac:dyDescent="0.35">
      <c r="A92" s="210"/>
      <c r="AC92" s="209"/>
    </row>
    <row r="93" spans="1:29" x14ac:dyDescent="0.35">
      <c r="A93" s="210"/>
      <c r="AC93" s="209"/>
    </row>
    <row r="94" spans="1:29" ht="15.5" x14ac:dyDescent="0.35">
      <c r="A94" s="15" t="s">
        <v>108</v>
      </c>
      <c r="B94" s="198"/>
      <c r="C94" s="16">
        <v>2021</v>
      </c>
      <c r="D94" s="16">
        <v>2022</v>
      </c>
      <c r="E94" s="16">
        <v>2023</v>
      </c>
      <c r="F94" s="16">
        <v>2024</v>
      </c>
      <c r="G94" s="16">
        <v>2025</v>
      </c>
      <c r="H94" s="16">
        <v>2026</v>
      </c>
      <c r="I94" s="16">
        <v>2027</v>
      </c>
      <c r="J94" s="16">
        <v>2028</v>
      </c>
      <c r="K94" s="16">
        <v>2029</v>
      </c>
      <c r="L94" s="16">
        <v>2030</v>
      </c>
      <c r="M94" s="16">
        <v>2031</v>
      </c>
      <c r="N94" s="16">
        <v>2032</v>
      </c>
      <c r="O94" s="26"/>
      <c r="AC94" s="209"/>
    </row>
    <row r="95" spans="1:29" ht="29" x14ac:dyDescent="0.35">
      <c r="A95" s="24" t="s">
        <v>43</v>
      </c>
      <c r="B95" s="199" t="s">
        <v>158</v>
      </c>
      <c r="C95" s="25">
        <v>0</v>
      </c>
      <c r="D95" s="25">
        <f>$M$9*D47</f>
        <v>-75496.258967507354</v>
      </c>
      <c r="E95" s="25">
        <f t="shared" ref="E95:N95" si="32">$M$9*E47</f>
        <v>-77573.62437612217</v>
      </c>
      <c r="F95" s="25">
        <f t="shared" si="32"/>
        <v>59300.136507316267</v>
      </c>
      <c r="G95" s="25">
        <f t="shared" si="32"/>
        <v>389675.10527803516</v>
      </c>
      <c r="H95" s="25">
        <f t="shared" si="32"/>
        <v>626145.53208566306</v>
      </c>
      <c r="I95" s="25">
        <f t="shared" si="32"/>
        <v>730641.21963537019</v>
      </c>
      <c r="J95" s="25">
        <f t="shared" si="32"/>
        <v>734228.00129199377</v>
      </c>
      <c r="K95" s="25">
        <f t="shared" si="32"/>
        <v>693928.29601094255</v>
      </c>
      <c r="L95" s="25">
        <f t="shared" si="32"/>
        <v>665087.56127013278</v>
      </c>
      <c r="M95" s="25">
        <f t="shared" si="32"/>
        <v>564045.86008037464</v>
      </c>
      <c r="N95" s="25">
        <f t="shared" si="32"/>
        <v>0</v>
      </c>
      <c r="O95" s="26"/>
      <c r="AC95" s="209"/>
    </row>
    <row r="96" spans="1:29" ht="29" x14ac:dyDescent="0.35">
      <c r="A96" s="24" t="s">
        <v>44</v>
      </c>
      <c r="B96" s="199" t="s">
        <v>158</v>
      </c>
      <c r="C96" s="25">
        <v>0</v>
      </c>
      <c r="D96" s="25">
        <f>D85*$N$9</f>
        <v>0</v>
      </c>
      <c r="E96" s="25">
        <f t="shared" ref="E96:N96" si="33">E85*$N$9</f>
        <v>-73487.712248663025</v>
      </c>
      <c r="F96" s="25">
        <f t="shared" si="33"/>
        <v>-67424.757779456399</v>
      </c>
      <c r="G96" s="25">
        <f t="shared" si="33"/>
        <v>296024.05467358889</v>
      </c>
      <c r="H96" s="25">
        <f t="shared" si="33"/>
        <v>716272.78019086318</v>
      </c>
      <c r="I96" s="25">
        <f t="shared" si="33"/>
        <v>1013402.0465381535</v>
      </c>
      <c r="J96" s="25">
        <f t="shared" si="33"/>
        <v>1113929.8984482971</v>
      </c>
      <c r="K96" s="25">
        <f t="shared" si="33"/>
        <v>1085601.4075405309</v>
      </c>
      <c r="L96" s="25">
        <f t="shared" si="33"/>
        <v>1015587.6795697479</v>
      </c>
      <c r="M96" s="25">
        <f t="shared" si="33"/>
        <v>980709.36344437418</v>
      </c>
      <c r="N96" s="25">
        <f t="shared" si="33"/>
        <v>568152.33532580466</v>
      </c>
      <c r="O96" s="26"/>
      <c r="AC96" s="209"/>
    </row>
    <row r="97" spans="1:29" ht="29" x14ac:dyDescent="0.35">
      <c r="A97" s="24" t="s">
        <v>72</v>
      </c>
      <c r="B97" s="199" t="s">
        <v>158</v>
      </c>
      <c r="C97" s="25">
        <v>0</v>
      </c>
      <c r="D97" s="25">
        <f>SUM(D95:D96)</f>
        <v>-75496.258967507354</v>
      </c>
      <c r="E97" s="25">
        <f t="shared" ref="E97:N97" si="34">SUM(E95:E96)</f>
        <v>-151061.33662478521</v>
      </c>
      <c r="F97" s="25">
        <f t="shared" si="34"/>
        <v>-8124.6212721401316</v>
      </c>
      <c r="G97" s="25">
        <f t="shared" si="34"/>
        <v>685699.15995162399</v>
      </c>
      <c r="H97" s="25">
        <f t="shared" si="34"/>
        <v>1342418.3122765264</v>
      </c>
      <c r="I97" s="25">
        <f t="shared" si="34"/>
        <v>1744043.2661735239</v>
      </c>
      <c r="J97" s="25">
        <f t="shared" si="34"/>
        <v>1848157.8997402908</v>
      </c>
      <c r="K97" s="25">
        <f t="shared" si="34"/>
        <v>1779529.7035514736</v>
      </c>
      <c r="L97" s="25">
        <f t="shared" si="34"/>
        <v>1680675.2408398807</v>
      </c>
      <c r="M97" s="25">
        <f t="shared" si="34"/>
        <v>1544755.2235247488</v>
      </c>
      <c r="N97" s="25">
        <f t="shared" si="34"/>
        <v>568152.33532580466</v>
      </c>
      <c r="O97" s="26"/>
      <c r="AC97" s="209"/>
    </row>
    <row r="98" spans="1:29" x14ac:dyDescent="0.35">
      <c r="A98" s="210"/>
      <c r="AC98" s="209"/>
    </row>
    <row r="99" spans="1:29" x14ac:dyDescent="0.35">
      <c r="A99" s="210"/>
      <c r="C99" s="26"/>
      <c r="AC99" s="209"/>
    </row>
    <row r="100" spans="1:29" ht="18" x14ac:dyDescent="0.4">
      <c r="A100" s="211" t="s">
        <v>159</v>
      </c>
      <c r="B100" s="230"/>
      <c r="C100" s="67"/>
      <c r="D100" s="66"/>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231"/>
    </row>
    <row r="101" spans="1:29" s="98" customFormat="1" ht="18" x14ac:dyDescent="0.4">
      <c r="A101" s="350"/>
      <c r="B101" s="351"/>
      <c r="C101" s="352"/>
      <c r="D101" s="353"/>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354"/>
    </row>
    <row r="102" spans="1:29" ht="15.75" customHeight="1" x14ac:dyDescent="0.35">
      <c r="A102" s="200"/>
      <c r="B102" s="200"/>
      <c r="C102" s="200">
        <v>2021</v>
      </c>
      <c r="D102" s="16">
        <v>2022</v>
      </c>
      <c r="E102" s="16">
        <v>2023</v>
      </c>
      <c r="F102" s="16">
        <v>2024</v>
      </c>
      <c r="G102" s="16">
        <v>2025</v>
      </c>
      <c r="AC102" s="209"/>
    </row>
    <row r="103" spans="1:29" ht="15" customHeight="1" x14ac:dyDescent="0.35">
      <c r="A103" s="6" t="s">
        <v>160</v>
      </c>
      <c r="B103" s="199"/>
      <c r="C103" s="347">
        <v>57534</v>
      </c>
      <c r="D103" s="348">
        <v>866771</v>
      </c>
      <c r="E103" s="349">
        <v>1361556.75</v>
      </c>
      <c r="F103" s="349">
        <v>787612.48</v>
      </c>
      <c r="G103" s="382">
        <f>328597.46+309743+99963</f>
        <v>738303.46</v>
      </c>
      <c r="AC103" s="209"/>
    </row>
    <row r="104" spans="1:29" ht="15" customHeight="1" x14ac:dyDescent="0.35">
      <c r="A104" s="6" t="s">
        <v>161</v>
      </c>
      <c r="B104" s="199"/>
      <c r="C104" s="347">
        <f>C103/(Assumptions!H48/Assumptions!$H$48)</f>
        <v>57534</v>
      </c>
      <c r="D104" s="348">
        <f>D103/(Assumptions!I48/Assumptions!$H$48)</f>
        <v>809092.01880941493</v>
      </c>
      <c r="E104" s="348">
        <f>E103/(Assumptions!J48/Assumptions!$H$48)</f>
        <v>1226797.4406742235</v>
      </c>
      <c r="F104" s="348">
        <f>F103/(Assumptions!K48/Assumptions!$H$48)</f>
        <v>692907.78684468579</v>
      </c>
      <c r="G104" s="348">
        <f>G103/(Assumptions!L48/Assumptions!$H$48)</f>
        <v>632718.3179066095</v>
      </c>
      <c r="AC104" s="209"/>
    </row>
    <row r="105" spans="1:29" ht="15" customHeight="1" x14ac:dyDescent="0.35">
      <c r="A105" s="6" t="s">
        <v>162</v>
      </c>
      <c r="B105" s="199"/>
      <c r="C105" s="201">
        <f>C104/(1+Assumptions!$C$12)^(C102-2021)</f>
        <v>57534</v>
      </c>
      <c r="D105" s="25">
        <f>D104/(1+Assumptions!$C$12)^(D102-2021)</f>
        <v>735538.19891764992</v>
      </c>
      <c r="E105" s="25">
        <f>E104/(1+Assumptions!$C$12)^(E102-2021)</f>
        <v>1013882.1823753911</v>
      </c>
      <c r="F105" s="25">
        <f>F104/(1+Assumptions!$C$12)^(F102-2021)</f>
        <v>520591.8759163678</v>
      </c>
      <c r="G105" s="25">
        <f>G104/(1+Assumptions!$C$12)^(G102-2021)</f>
        <v>432155.1245861685</v>
      </c>
      <c r="AC105" s="209"/>
    </row>
    <row r="106" spans="1:29" x14ac:dyDescent="0.35">
      <c r="A106" s="210"/>
      <c r="C106" s="26"/>
      <c r="D106" s="26"/>
      <c r="E106" s="26"/>
      <c r="F106" s="26"/>
      <c r="G106" s="26"/>
      <c r="AC106" s="209"/>
    </row>
    <row r="107" spans="1:29" ht="31.15" customHeight="1" x14ac:dyDescent="0.35">
      <c r="A107" s="62" t="s">
        <v>163</v>
      </c>
      <c r="B107" s="386">
        <f>SUM(C105:G105)</f>
        <v>2759701.3817955777</v>
      </c>
      <c r="C107" s="241"/>
      <c r="D107" s="241"/>
      <c r="E107" s="241"/>
      <c r="F107" s="26"/>
      <c r="G107" s="26"/>
      <c r="AC107" s="209"/>
    </row>
    <row r="108" spans="1:29" ht="37.5" customHeight="1" x14ac:dyDescent="0.35">
      <c r="A108" s="62" t="s">
        <v>164</v>
      </c>
      <c r="B108" s="386">
        <f>B107/SUM(O9)</f>
        <v>111.2648220697326</v>
      </c>
      <c r="C108" s="241"/>
      <c r="D108" s="241"/>
      <c r="E108" s="241"/>
      <c r="F108" s="26"/>
      <c r="G108" s="26"/>
      <c r="AC108" s="209"/>
    </row>
    <row r="109" spans="1:29" ht="25.5" x14ac:dyDescent="0.35">
      <c r="A109" s="242"/>
      <c r="B109" s="243"/>
      <c r="C109" s="241"/>
      <c r="D109" s="241"/>
      <c r="E109" s="241"/>
      <c r="F109" s="26"/>
      <c r="AC109" s="209"/>
    </row>
    <row r="110" spans="1:29" ht="18" x14ac:dyDescent="0.4">
      <c r="A110" s="211" t="s">
        <v>238</v>
      </c>
      <c r="B110" s="230"/>
      <c r="C110" s="67"/>
      <c r="D110" s="66"/>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231"/>
    </row>
    <row r="111" spans="1:29" ht="31.5" customHeight="1" x14ac:dyDescent="0.35">
      <c r="A111" s="384" t="s">
        <v>239</v>
      </c>
      <c r="B111" s="385">
        <f>SUM(C95:N95)</f>
        <v>4309981.8288161987</v>
      </c>
      <c r="AC111" s="209"/>
    </row>
    <row r="112" spans="1:29" ht="31.5" customHeight="1" x14ac:dyDescent="0.35">
      <c r="A112" s="384" t="s">
        <v>240</v>
      </c>
      <c r="B112" s="385">
        <f>SUM(C96:N96)</f>
        <v>6648767.0957032405</v>
      </c>
      <c r="AC112" s="209"/>
    </row>
    <row r="113" spans="1:29" ht="18" x14ac:dyDescent="0.35">
      <c r="A113" s="62" t="s">
        <v>242</v>
      </c>
      <c r="B113" s="386">
        <f>SUM(C97:N97)/SUM(M9:N9)</f>
        <v>441.83158990926262</v>
      </c>
      <c r="AC113" s="209"/>
    </row>
    <row r="114" spans="1:29" ht="28.5" customHeight="1" x14ac:dyDescent="0.35">
      <c r="A114" s="383" t="s">
        <v>244</v>
      </c>
      <c r="B114" s="387">
        <f>B113-B108</f>
        <v>330.56676783953003</v>
      </c>
      <c r="AC114" s="209"/>
    </row>
    <row r="115" spans="1:29" ht="28.5" customHeight="1" x14ac:dyDescent="0.35">
      <c r="A115" s="62" t="s">
        <v>241</v>
      </c>
      <c r="B115" s="386">
        <f>SUM(C97:N97)</f>
        <v>10958748.92451944</v>
      </c>
      <c r="AC115" s="209"/>
    </row>
    <row r="116" spans="1:29" ht="28.5" customHeight="1" x14ac:dyDescent="0.35">
      <c r="A116" s="62" t="s">
        <v>243</v>
      </c>
      <c r="B116" s="386">
        <f>B115-B107</f>
        <v>8199047.5427238625</v>
      </c>
      <c r="AC116" s="209"/>
    </row>
    <row r="118" spans="1:29" ht="14.65" customHeight="1" x14ac:dyDescent="0.35">
      <c r="A118" s="210"/>
      <c r="E118" s="244"/>
      <c r="AC118" s="209"/>
    </row>
    <row r="119" spans="1:29" ht="18" x14ac:dyDescent="0.4">
      <c r="A119" s="211" t="s">
        <v>165</v>
      </c>
      <c r="B119" s="230"/>
      <c r="C119" s="67"/>
      <c r="D119" s="66"/>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231"/>
    </row>
    <row r="120" spans="1:29" x14ac:dyDescent="0.35">
      <c r="A120" s="210"/>
      <c r="AC120" s="209"/>
    </row>
    <row r="121" spans="1:29" ht="47" customHeight="1" x14ac:dyDescent="0.35">
      <c r="A121" s="62" t="s">
        <v>166</v>
      </c>
      <c r="B121" s="202">
        <f>B115/B107</f>
        <v>3.9709908458969636</v>
      </c>
      <c r="C121" s="71" t="s">
        <v>167</v>
      </c>
      <c r="D121" s="245"/>
      <c r="AC121" s="209"/>
    </row>
    <row r="122" spans="1:29" ht="14.65" customHeight="1" x14ac:dyDescent="0.35">
      <c r="A122" s="210"/>
      <c r="H122" s="8"/>
      <c r="I122" s="8"/>
      <c r="J122" s="8"/>
      <c r="L122" s="8"/>
      <c r="M122" s="3"/>
      <c r="N122" s="3"/>
      <c r="O122" s="3"/>
      <c r="AC122" s="209"/>
    </row>
    <row r="123" spans="1:29" x14ac:dyDescent="0.35">
      <c r="A123" s="210"/>
      <c r="P123" s="3"/>
      <c r="AC123" s="209"/>
    </row>
    <row r="124" spans="1:29" x14ac:dyDescent="0.35">
      <c r="A124" s="218"/>
      <c r="B124" s="246"/>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21"/>
    </row>
    <row r="128" spans="1:29" x14ac:dyDescent="0.35">
      <c r="Q128" s="58"/>
    </row>
    <row r="130" spans="11:16" x14ac:dyDescent="0.35">
      <c r="K130" s="26"/>
    </row>
    <row r="131" spans="11:16" x14ac:dyDescent="0.35">
      <c r="K131" s="26"/>
    </row>
    <row r="132" spans="11:16" x14ac:dyDescent="0.35">
      <c r="P132" s="8"/>
    </row>
    <row r="145" spans="5:5" x14ac:dyDescent="0.35">
      <c r="E145" s="2"/>
    </row>
    <row r="147" spans="5:5" x14ac:dyDescent="0.35">
      <c r="E147" s="1"/>
    </row>
    <row r="148" spans="5:5" x14ac:dyDescent="0.35">
      <c r="E148" s="1"/>
    </row>
  </sheetData>
  <sortState xmlns:xlrd2="http://schemas.microsoft.com/office/spreadsheetml/2017/richdata2" ref="P102:R102">
    <sortCondition ref="P102"/>
  </sortState>
  <mergeCells count="19">
    <mergeCell ref="L11:O11"/>
    <mergeCell ref="Q8:Q10"/>
    <mergeCell ref="Q11:Q13"/>
    <mergeCell ref="A87:B88"/>
    <mergeCell ref="C87:E88"/>
    <mergeCell ref="F6:I6"/>
    <mergeCell ref="A6:D6"/>
    <mergeCell ref="A29:A37"/>
    <mergeCell ref="A85:B85"/>
    <mergeCell ref="A64:A73"/>
    <mergeCell ref="A74:A78"/>
    <mergeCell ref="A79:A84"/>
    <mergeCell ref="A55:A63"/>
    <mergeCell ref="A49:B50"/>
    <mergeCell ref="C49:E50"/>
    <mergeCell ref="A47:B47"/>
    <mergeCell ref="A38:A41"/>
    <mergeCell ref="A42:A46"/>
    <mergeCell ref="A21:A28"/>
  </mergeCells>
  <conditionalFormatting sqref="A102:B102">
    <cfRule type="cellIs" dxfId="14" priority="1" operator="lessThan">
      <formula>0</formula>
    </cfRule>
  </conditionalFormatting>
  <conditionalFormatting sqref="A7:D7 F7:J7 L7:L8 C20:N46 E55:N61 C55:D84 E73:N73 E74:E78 F78:N78 E84:N84 C102:G104 H122:J122 L122">
    <cfRule type="cellIs" dxfId="13" priority="38" operator="lessThan">
      <formula>0</formula>
    </cfRule>
  </conditionalFormatting>
  <conditionalFormatting sqref="B20">
    <cfRule type="cellIs" dxfId="12" priority="33" operator="lessThan">
      <formula>0</formula>
    </cfRule>
  </conditionalFormatting>
  <conditionalFormatting sqref="B54:N54">
    <cfRule type="cellIs" dxfId="11" priority="26" operator="lessThan">
      <formula>0</formula>
    </cfRule>
  </conditionalFormatting>
  <conditionalFormatting sqref="C94:N94">
    <cfRule type="cellIs" dxfId="10" priority="35" operator="lessThan">
      <formula>0</formula>
    </cfRule>
  </conditionalFormatting>
  <conditionalFormatting sqref="E63:N71">
    <cfRule type="cellIs" dxfId="9" priority="4" operator="lessThan">
      <formula>0</formula>
    </cfRule>
  </conditionalFormatting>
  <conditionalFormatting sqref="E79:N82">
    <cfRule type="cellIs" dxfId="8" priority="2" operator="lessThan">
      <formula>0</formula>
    </cfRule>
  </conditionalFormatting>
  <conditionalFormatting sqref="F74:N76">
    <cfRule type="cellIs" dxfId="7" priority="3" operator="lessThan">
      <formula>0</formula>
    </cfRule>
  </conditionalFormatting>
  <conditionalFormatting sqref="P132">
    <cfRule type="cellIs" dxfId="6" priority="8" operator="lessThan">
      <formula>0</formula>
    </cfRule>
  </conditionalFormatting>
  <conditionalFormatting sqref="P21:AA21">
    <cfRule type="cellIs" dxfId="5" priority="39" operator="lessThan">
      <formula>0</formula>
    </cfRule>
  </conditionalFormatting>
  <conditionalFormatting sqref="P55:AB55">
    <cfRule type="cellIs" dxfId="4" priority="30" operator="lessThan">
      <formula>0</formula>
    </cfRule>
  </conditionalFormatting>
  <conditionalFormatting sqref="Q7:T7">
    <cfRule type="cellIs" dxfId="3" priority="14" operator="lessThan">
      <formula>0</formula>
    </cfRule>
  </conditionalFormatting>
  <conditionalFormatting sqref="Q31:AA31">
    <cfRule type="cellIs" dxfId="2" priority="47" operator="lessThan">
      <formula>0</formula>
    </cfRule>
  </conditionalFormatting>
  <conditionalFormatting sqref="Q65:AB65">
    <cfRule type="cellIs" dxfId="1" priority="7" operator="lessThan">
      <formula>0</formula>
    </cfRule>
  </conditionalFormatting>
  <hyperlinks>
    <hyperlink ref="D13" r:id="rId1" xr:uid="{BA912163-7EB5-4881-963E-A7AB39BD9551}"/>
    <hyperlink ref="J13" r:id="rId2" xr:uid="{CF141AB0-2502-4E51-8504-537A495AD805}"/>
    <hyperlink ref="Z7" r:id="rId3" display="../../../../../../../../:x:/s/herewegrow.org/ERlS9FXgCL1Bj99UidipIVQB5qhCIs054VBalOQ2XFI7BA?e=wMtnLd" xr:uid="{D6CC31C3-0D27-45F4-B049-72DF80A7B02D}"/>
  </hyperlinks>
  <pageMargins left="0.7" right="0.7" top="0.78740157499999996" bottom="0.78740157499999996" header="0.3" footer="0.3"/>
  <pageSetup paperSize="9" scale="14" orientation="portrait" horizontalDpi="1200" verticalDpi="1200"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37F8-203B-44F8-B408-7D42B97454D4}">
  <dimension ref="A1:Q63"/>
  <sheetViews>
    <sheetView showGridLines="0" zoomScale="53" zoomScaleNormal="67" workbookViewId="0">
      <selection activeCell="K37" sqref="K37"/>
    </sheetView>
  </sheetViews>
  <sheetFormatPr baseColWidth="10" defaultColWidth="9.26953125" defaultRowHeight="14.5" x14ac:dyDescent="0.35"/>
  <cols>
    <col min="2" max="2" width="35.54296875" customWidth="1"/>
    <col min="3" max="3" width="16.7265625" customWidth="1"/>
    <col min="4" max="4" width="18.453125" customWidth="1"/>
    <col min="5" max="5" width="12.54296875" customWidth="1"/>
    <col min="6" max="6" width="12.7265625" customWidth="1"/>
    <col min="10" max="10" width="14.26953125" customWidth="1"/>
    <col min="11" max="11" width="13.26953125" customWidth="1"/>
    <col min="12" max="12" width="12" customWidth="1"/>
    <col min="16" max="16" width="14.453125" customWidth="1"/>
    <col min="17" max="17" width="8.7265625" customWidth="1"/>
  </cols>
  <sheetData>
    <row r="1" spans="1:17" ht="18" x14ac:dyDescent="0.4">
      <c r="A1" s="203" t="s">
        <v>168</v>
      </c>
      <c r="B1" s="204"/>
      <c r="C1" s="205"/>
      <c r="D1" s="204"/>
      <c r="E1" s="206"/>
      <c r="F1" s="206"/>
      <c r="G1" s="206"/>
      <c r="H1" s="206"/>
      <c r="I1" s="206"/>
      <c r="J1" s="206"/>
      <c r="K1" s="206"/>
      <c r="L1" s="206"/>
      <c r="M1" s="206"/>
      <c r="N1" s="206"/>
      <c r="O1" s="206"/>
      <c r="P1" s="206"/>
      <c r="Q1" s="207"/>
    </row>
    <row r="2" spans="1:17" ht="18.5" thickBot="1" x14ac:dyDescent="0.45">
      <c r="A2" s="208"/>
      <c r="B2" s="291"/>
      <c r="C2" s="292"/>
      <c r="D2" s="293"/>
      <c r="Q2" s="209"/>
    </row>
    <row r="3" spans="1:17" ht="43.5" x14ac:dyDescent="0.35">
      <c r="A3" s="208"/>
      <c r="B3" s="313" t="s">
        <v>169</v>
      </c>
      <c r="C3" s="314" t="s">
        <v>170</v>
      </c>
      <c r="Q3" s="209"/>
    </row>
    <row r="4" spans="1:17" x14ac:dyDescent="0.35">
      <c r="A4" s="208"/>
      <c r="B4" s="315" t="s">
        <v>171</v>
      </c>
      <c r="C4" s="316">
        <v>2021</v>
      </c>
      <c r="Q4" s="209"/>
    </row>
    <row r="5" spans="1:17" x14ac:dyDescent="0.35">
      <c r="A5" s="208"/>
      <c r="B5" s="315" t="s">
        <v>172</v>
      </c>
      <c r="C5" s="316">
        <v>2022</v>
      </c>
      <c r="Q5" s="209"/>
    </row>
    <row r="6" spans="1:17" x14ac:dyDescent="0.35">
      <c r="A6" s="208"/>
      <c r="B6" s="315" t="s">
        <v>173</v>
      </c>
      <c r="C6" s="316">
        <v>2021</v>
      </c>
      <c r="Q6" s="209"/>
    </row>
    <row r="7" spans="1:17" ht="15" thickBot="1" x14ac:dyDescent="0.4">
      <c r="A7" s="208"/>
      <c r="B7" s="317" t="s">
        <v>174</v>
      </c>
      <c r="C7" s="318" t="s">
        <v>175</v>
      </c>
      <c r="Q7" s="209"/>
    </row>
    <row r="8" spans="1:17" x14ac:dyDescent="0.35">
      <c r="A8" s="210"/>
      <c r="Q8" s="209"/>
    </row>
    <row r="9" spans="1:17" ht="18.5" x14ac:dyDescent="0.45">
      <c r="A9" s="211" t="s">
        <v>237</v>
      </c>
      <c r="B9" s="294"/>
      <c r="C9" s="294"/>
      <c r="D9" s="294"/>
      <c r="E9" s="294"/>
      <c r="F9" s="294"/>
      <c r="G9" s="294"/>
      <c r="H9" s="294"/>
      <c r="I9" s="294"/>
      <c r="J9" s="294"/>
      <c r="K9" s="294"/>
      <c r="L9" s="294"/>
      <c r="M9" s="294"/>
      <c r="N9" s="294"/>
      <c r="O9" s="294"/>
      <c r="P9" s="294"/>
      <c r="Q9" s="212"/>
    </row>
    <row r="10" spans="1:17" x14ac:dyDescent="0.35">
      <c r="A10" s="210"/>
      <c r="Q10" s="209"/>
    </row>
    <row r="11" spans="1:17" ht="15" thickBot="1" x14ac:dyDescent="0.4">
      <c r="A11" s="210"/>
      <c r="Q11" s="209"/>
    </row>
    <row r="12" spans="1:17" ht="15" thickBot="1" x14ac:dyDescent="0.4">
      <c r="A12" s="210"/>
      <c r="B12" s="149" t="s">
        <v>176</v>
      </c>
      <c r="C12" s="157">
        <v>0.1</v>
      </c>
      <c r="Q12" s="209"/>
    </row>
    <row r="13" spans="1:17" x14ac:dyDescent="0.35">
      <c r="A13" s="210"/>
      <c r="Q13" s="209"/>
    </row>
    <row r="14" spans="1:17" ht="15" thickBot="1" x14ac:dyDescent="0.4">
      <c r="A14" s="210"/>
      <c r="B14" s="311" t="s">
        <v>177</v>
      </c>
      <c r="C14" s="295"/>
      <c r="D14" s="306" t="s">
        <v>65</v>
      </c>
      <c r="Q14" s="209"/>
    </row>
    <row r="15" spans="1:17" x14ac:dyDescent="0.35">
      <c r="A15" s="210"/>
      <c r="B15" s="150" t="s">
        <v>178</v>
      </c>
      <c r="C15" s="154">
        <v>50</v>
      </c>
      <c r="D15" s="213" t="s">
        <v>179</v>
      </c>
      <c r="Q15" s="209"/>
    </row>
    <row r="16" spans="1:17" ht="29" x14ac:dyDescent="0.35">
      <c r="A16" s="210"/>
      <c r="B16" s="151" t="s">
        <v>103</v>
      </c>
      <c r="C16" s="155">
        <v>15</v>
      </c>
      <c r="Q16" s="209"/>
    </row>
    <row r="17" spans="1:17" ht="24.75" customHeight="1" x14ac:dyDescent="0.35">
      <c r="A17" s="210"/>
      <c r="B17" s="151" t="s">
        <v>180</v>
      </c>
      <c r="C17" s="155">
        <v>1</v>
      </c>
      <c r="Q17" s="209"/>
    </row>
    <row r="18" spans="1:17" ht="29" x14ac:dyDescent="0.35">
      <c r="A18" s="210"/>
      <c r="B18" s="151" t="s">
        <v>181</v>
      </c>
      <c r="C18" s="156">
        <f>5/3000</f>
        <v>1.6666666666666668E-3</v>
      </c>
      <c r="Q18" s="209"/>
    </row>
    <row r="19" spans="1:17" ht="29" x14ac:dyDescent="0.35">
      <c r="A19" s="210"/>
      <c r="B19" s="151" t="s">
        <v>182</v>
      </c>
      <c r="C19" s="156">
        <f>10/3000</f>
        <v>3.3333333333333335E-3</v>
      </c>
      <c r="Q19" s="209"/>
    </row>
    <row r="20" spans="1:17" x14ac:dyDescent="0.35">
      <c r="A20" s="210"/>
      <c r="B20" s="151" t="s">
        <v>183</v>
      </c>
      <c r="C20" s="156">
        <v>0.01</v>
      </c>
      <c r="D20" t="s">
        <v>184</v>
      </c>
      <c r="Q20" s="209"/>
    </row>
    <row r="21" spans="1:17" ht="24.75" customHeight="1" thickBot="1" x14ac:dyDescent="0.4">
      <c r="A21" s="210"/>
      <c r="B21" s="152" t="s">
        <v>185</v>
      </c>
      <c r="C21" s="312">
        <v>52</v>
      </c>
      <c r="Q21" s="209"/>
    </row>
    <row r="22" spans="1:17" ht="18.75" customHeight="1" thickBot="1" x14ac:dyDescent="0.4">
      <c r="A22" s="210"/>
      <c r="Q22" s="209"/>
    </row>
    <row r="23" spans="1:17" ht="20.25" customHeight="1" x14ac:dyDescent="0.35">
      <c r="A23" s="210"/>
      <c r="B23" s="153" t="s">
        <v>108</v>
      </c>
      <c r="C23" s="222">
        <v>2020</v>
      </c>
      <c r="D23" s="222">
        <v>2021</v>
      </c>
      <c r="E23" s="222">
        <v>2022</v>
      </c>
      <c r="F23" s="222">
        <v>2023</v>
      </c>
      <c r="G23" s="222">
        <v>2024</v>
      </c>
      <c r="H23" s="222">
        <v>2025</v>
      </c>
      <c r="I23" s="222">
        <v>2026</v>
      </c>
      <c r="J23" s="222">
        <v>2027</v>
      </c>
      <c r="K23" s="222">
        <v>2028</v>
      </c>
      <c r="L23" s="222">
        <v>2029</v>
      </c>
      <c r="M23" s="222">
        <v>2030</v>
      </c>
      <c r="N23" s="222">
        <v>2031</v>
      </c>
      <c r="O23" s="223">
        <v>2032</v>
      </c>
      <c r="P23" s="295" t="s">
        <v>186</v>
      </c>
      <c r="Q23" s="209"/>
    </row>
    <row r="24" spans="1:17" ht="75.75" customHeight="1" x14ac:dyDescent="0.35">
      <c r="A24" s="210"/>
      <c r="B24" s="151" t="s">
        <v>187</v>
      </c>
      <c r="C24" s="164">
        <v>60</v>
      </c>
      <c r="D24" s="164">
        <f>AVERAGE(C24,E24)</f>
        <v>89</v>
      </c>
      <c r="E24" s="164">
        <v>118</v>
      </c>
      <c r="F24" s="87">
        <f t="shared" ref="F24:O24" si="0">AVERAGE($C$24:$E$24)</f>
        <v>89</v>
      </c>
      <c r="G24" s="87">
        <f t="shared" si="0"/>
        <v>89</v>
      </c>
      <c r="H24" s="87">
        <f t="shared" si="0"/>
        <v>89</v>
      </c>
      <c r="I24" s="87">
        <f t="shared" si="0"/>
        <v>89</v>
      </c>
      <c r="J24" s="87">
        <f t="shared" si="0"/>
        <v>89</v>
      </c>
      <c r="K24" s="87">
        <f t="shared" si="0"/>
        <v>89</v>
      </c>
      <c r="L24" s="87">
        <f t="shared" si="0"/>
        <v>89</v>
      </c>
      <c r="M24" s="87">
        <f t="shared" si="0"/>
        <v>89</v>
      </c>
      <c r="N24" s="87">
        <f t="shared" si="0"/>
        <v>89</v>
      </c>
      <c r="O24" s="160">
        <f t="shared" si="0"/>
        <v>89</v>
      </c>
      <c r="P24" s="296" t="s">
        <v>188</v>
      </c>
      <c r="Q24" s="209"/>
    </row>
    <row r="25" spans="1:17" ht="59.25" customHeight="1" thickBot="1" x14ac:dyDescent="0.4">
      <c r="A25" s="210"/>
      <c r="B25" s="152" t="s">
        <v>189</v>
      </c>
      <c r="C25" s="174">
        <f>C24/(G47/Assumptions!$H$47)</f>
        <v>72.638114217657389</v>
      </c>
      <c r="D25" s="174">
        <f>D24/(H47/Assumptions!$H$47)</f>
        <v>89</v>
      </c>
      <c r="E25" s="174">
        <f>E24/(I47/Assumptions!$H$47)</f>
        <v>88.489226026997017</v>
      </c>
      <c r="F25" s="161">
        <f t="shared" ref="F25:O25" si="1">AVERAGE($C$25:$E$25)</f>
        <v>83.375780081551468</v>
      </c>
      <c r="G25" s="161">
        <f t="shared" si="1"/>
        <v>83.375780081551468</v>
      </c>
      <c r="H25" s="161">
        <f t="shared" si="1"/>
        <v>83.375780081551468</v>
      </c>
      <c r="I25" s="161">
        <f t="shared" si="1"/>
        <v>83.375780081551468</v>
      </c>
      <c r="J25" s="161">
        <f t="shared" si="1"/>
        <v>83.375780081551468</v>
      </c>
      <c r="K25" s="161">
        <f t="shared" si="1"/>
        <v>83.375780081551468</v>
      </c>
      <c r="L25" s="161">
        <f t="shared" si="1"/>
        <v>83.375780081551468</v>
      </c>
      <c r="M25" s="161">
        <f t="shared" si="1"/>
        <v>83.375780081551468</v>
      </c>
      <c r="N25" s="161">
        <f t="shared" si="1"/>
        <v>83.375780081551468</v>
      </c>
      <c r="O25" s="162">
        <f t="shared" si="1"/>
        <v>83.375780081551468</v>
      </c>
      <c r="P25" s="297"/>
      <c r="Q25" s="209"/>
    </row>
    <row r="26" spans="1:17" ht="25.5" customHeight="1" x14ac:dyDescent="0.35">
      <c r="A26" s="210"/>
      <c r="B26" s="298"/>
      <c r="C26" s="297"/>
      <c r="D26" s="297"/>
      <c r="E26" s="297"/>
      <c r="F26" s="297"/>
      <c r="G26" s="297"/>
      <c r="H26" s="297"/>
      <c r="I26" s="297"/>
      <c r="J26" s="297"/>
      <c r="K26" s="297"/>
      <c r="L26" s="297"/>
      <c r="M26" s="297"/>
      <c r="N26" s="297"/>
      <c r="Q26" s="209"/>
    </row>
    <row r="27" spans="1:17" ht="27.75" customHeight="1" thickBot="1" x14ac:dyDescent="0.4">
      <c r="A27" s="210"/>
      <c r="B27" s="299" t="s">
        <v>190</v>
      </c>
      <c r="C27" s="300"/>
      <c r="D27" s="300"/>
      <c r="E27" s="300"/>
      <c r="F27" s="297"/>
      <c r="G27" s="297"/>
      <c r="H27" s="297"/>
      <c r="I27" s="297"/>
      <c r="J27" s="297"/>
      <c r="K27" s="297"/>
      <c r="L27" s="297"/>
      <c r="M27" s="297"/>
      <c r="N27" s="297"/>
      <c r="Q27" s="209"/>
    </row>
    <row r="28" spans="1:17" ht="55.5" customHeight="1" thickBot="1" x14ac:dyDescent="0.4">
      <c r="A28" s="210"/>
      <c r="B28" s="158" t="s">
        <v>191</v>
      </c>
      <c r="C28" s="159">
        <v>0.1</v>
      </c>
      <c r="E28" s="297"/>
      <c r="F28" s="297"/>
      <c r="G28" s="297"/>
      <c r="H28" s="297"/>
      <c r="I28" s="297"/>
      <c r="J28" s="297"/>
      <c r="K28" s="297"/>
      <c r="L28" s="297"/>
      <c r="M28" s="297"/>
      <c r="Q28" s="209"/>
    </row>
    <row r="29" spans="1:17" x14ac:dyDescent="0.35">
      <c r="A29" s="210"/>
      <c r="B29" s="298"/>
      <c r="C29" s="163"/>
      <c r="E29" s="297"/>
      <c r="F29" s="297"/>
      <c r="G29" s="297"/>
      <c r="H29" s="297"/>
      <c r="I29" s="297"/>
      <c r="J29" s="297"/>
      <c r="K29" s="297"/>
      <c r="L29" s="297"/>
      <c r="M29" s="297"/>
      <c r="Q29" s="209"/>
    </row>
    <row r="30" spans="1:17" ht="39" customHeight="1" thickBot="1" x14ac:dyDescent="0.4">
      <c r="A30" s="210"/>
      <c r="B30" s="299" t="s">
        <v>192</v>
      </c>
      <c r="C30" s="301"/>
      <c r="D30" s="302"/>
      <c r="E30" s="297"/>
      <c r="F30" s="297"/>
      <c r="G30" s="297"/>
      <c r="H30" s="297"/>
      <c r="I30" s="297"/>
      <c r="J30" s="297"/>
      <c r="K30" s="297"/>
      <c r="L30" s="297"/>
      <c r="M30" s="297"/>
      <c r="Q30" s="209"/>
    </row>
    <row r="31" spans="1:17" ht="44.15" customHeight="1" x14ac:dyDescent="0.35">
      <c r="A31" s="210"/>
      <c r="B31" s="166" t="s">
        <v>108</v>
      </c>
      <c r="C31" s="167" t="s">
        <v>193</v>
      </c>
      <c r="D31" s="167" t="s">
        <v>194</v>
      </c>
      <c r="E31" s="167" t="s">
        <v>117</v>
      </c>
      <c r="F31" s="167" t="s">
        <v>119</v>
      </c>
      <c r="G31" s="167" t="s">
        <v>121</v>
      </c>
      <c r="H31" s="167" t="s">
        <v>123</v>
      </c>
      <c r="I31" s="167" t="s">
        <v>125</v>
      </c>
      <c r="J31" s="167" t="s">
        <v>127</v>
      </c>
      <c r="K31" s="168" t="s">
        <v>129</v>
      </c>
      <c r="Q31" s="209"/>
    </row>
    <row r="32" spans="1:17" ht="29.15" customHeight="1" x14ac:dyDescent="0.35">
      <c r="A32" s="210"/>
      <c r="B32" s="169" t="s">
        <v>195</v>
      </c>
      <c r="C32" s="319">
        <v>0</v>
      </c>
      <c r="D32" s="319">
        <v>0.7</v>
      </c>
      <c r="E32" s="319">
        <v>2.6</v>
      </c>
      <c r="F32" s="319">
        <v>3.3</v>
      </c>
      <c r="G32" s="319">
        <v>2.8</v>
      </c>
      <c r="H32" s="319">
        <v>2.6</v>
      </c>
      <c r="I32" s="319">
        <v>2.5</v>
      </c>
      <c r="J32" s="319">
        <v>2.4</v>
      </c>
      <c r="K32" s="320">
        <v>2.2000000000000002</v>
      </c>
      <c r="Q32" s="209"/>
    </row>
    <row r="33" spans="1:17" ht="28.15" customHeight="1" x14ac:dyDescent="0.35">
      <c r="A33" s="210"/>
      <c r="B33" s="267" t="s">
        <v>196</v>
      </c>
      <c r="C33" s="319">
        <v>1.1000000000000001</v>
      </c>
      <c r="D33" s="319">
        <v>1.1000000000000001</v>
      </c>
      <c r="E33" s="319">
        <v>0.9</v>
      </c>
      <c r="F33" s="319">
        <v>1.3</v>
      </c>
      <c r="G33" s="319">
        <v>1</v>
      </c>
      <c r="H33" s="319">
        <v>1.3</v>
      </c>
      <c r="I33" s="319">
        <v>1.6</v>
      </c>
      <c r="J33" s="319">
        <v>1.6</v>
      </c>
      <c r="K33" s="320">
        <v>1.1000000000000001</v>
      </c>
      <c r="N33" s="297"/>
      <c r="O33" s="297"/>
      <c r="Q33" s="209"/>
    </row>
    <row r="34" spans="1:17" ht="42" customHeight="1" thickBot="1" x14ac:dyDescent="0.4">
      <c r="A34" s="214"/>
      <c r="B34" s="170" t="s">
        <v>197</v>
      </c>
      <c r="C34" s="171">
        <f>C32-C33</f>
        <v>-1.1000000000000001</v>
      </c>
      <c r="D34" s="171">
        <f t="shared" ref="D34:K34" si="2">D32-D33</f>
        <v>-0.40000000000000013</v>
      </c>
      <c r="E34" s="171">
        <f t="shared" si="2"/>
        <v>1.7000000000000002</v>
      </c>
      <c r="F34" s="171">
        <f t="shared" si="2"/>
        <v>1.9999999999999998</v>
      </c>
      <c r="G34" s="171">
        <f t="shared" si="2"/>
        <v>1.7999999999999998</v>
      </c>
      <c r="H34" s="171">
        <f t="shared" si="2"/>
        <v>1.3</v>
      </c>
      <c r="I34" s="171">
        <f t="shared" si="2"/>
        <v>0.89999999999999991</v>
      </c>
      <c r="J34" s="171">
        <f t="shared" si="2"/>
        <v>0.79999999999999982</v>
      </c>
      <c r="K34" s="172">
        <f t="shared" si="2"/>
        <v>1.1000000000000001</v>
      </c>
      <c r="N34" s="297"/>
      <c r="O34" s="297"/>
      <c r="Q34" s="209"/>
    </row>
    <row r="35" spans="1:17" ht="15" thickBot="1" x14ac:dyDescent="0.4">
      <c r="A35" s="210"/>
      <c r="N35" s="297"/>
      <c r="O35" s="297"/>
      <c r="Q35" s="209"/>
    </row>
    <row r="36" spans="1:17" ht="32.25" customHeight="1" thickBot="1" x14ac:dyDescent="0.4">
      <c r="A36" s="210"/>
      <c r="B36" s="158" t="s">
        <v>198</v>
      </c>
      <c r="C36" s="173">
        <v>7.2999999999999995E-2</v>
      </c>
      <c r="D36" s="303" t="s">
        <v>199</v>
      </c>
      <c r="N36" s="297"/>
      <c r="O36" s="297"/>
      <c r="Q36" s="209"/>
    </row>
    <row r="37" spans="1:17" x14ac:dyDescent="0.35">
      <c r="A37" s="210"/>
      <c r="N37" s="297"/>
      <c r="O37" s="297"/>
      <c r="Q37" s="209"/>
    </row>
    <row r="38" spans="1:17" ht="15" thickBot="1" x14ac:dyDescent="0.4">
      <c r="A38" s="210"/>
      <c r="B38" s="299" t="s">
        <v>200</v>
      </c>
      <c r="N38" s="297"/>
      <c r="O38" s="297"/>
      <c r="Q38" s="209"/>
    </row>
    <row r="39" spans="1:17" x14ac:dyDescent="0.35">
      <c r="A39" s="210"/>
      <c r="B39" s="166"/>
      <c r="C39" s="167">
        <v>2020</v>
      </c>
      <c r="D39" s="167">
        <v>2021</v>
      </c>
      <c r="E39" s="167">
        <v>2022</v>
      </c>
      <c r="F39" s="167">
        <v>2023</v>
      </c>
      <c r="G39" s="167">
        <v>2024</v>
      </c>
      <c r="H39" s="167">
        <v>2025</v>
      </c>
      <c r="I39" s="167">
        <v>2026</v>
      </c>
      <c r="J39" s="167">
        <v>2027</v>
      </c>
      <c r="K39" s="167">
        <v>2028</v>
      </c>
      <c r="L39" s="167">
        <v>2029</v>
      </c>
      <c r="M39" s="167">
        <v>2030</v>
      </c>
      <c r="N39" s="167">
        <v>2031</v>
      </c>
      <c r="O39" s="168">
        <v>2032</v>
      </c>
      <c r="P39" s="295" t="s">
        <v>186</v>
      </c>
      <c r="Q39" s="209"/>
    </row>
    <row r="40" spans="1:17" ht="67.5" customHeight="1" x14ac:dyDescent="0.35">
      <c r="A40" s="210"/>
      <c r="B40" s="151" t="s">
        <v>201</v>
      </c>
      <c r="C40" s="164">
        <v>19</v>
      </c>
      <c r="D40" s="164">
        <v>35</v>
      </c>
      <c r="E40" s="164">
        <v>50</v>
      </c>
      <c r="F40" s="164">
        <v>31</v>
      </c>
      <c r="G40" s="164">
        <v>30.5</v>
      </c>
      <c r="H40" s="87">
        <f t="shared" ref="H40:O40" si="3">AVERAGE($C$40:$G$40)</f>
        <v>33.1</v>
      </c>
      <c r="I40" s="87">
        <f t="shared" si="3"/>
        <v>33.1</v>
      </c>
      <c r="J40" s="87">
        <f t="shared" si="3"/>
        <v>33.1</v>
      </c>
      <c r="K40" s="87">
        <f t="shared" si="3"/>
        <v>33.1</v>
      </c>
      <c r="L40" s="87">
        <f t="shared" si="3"/>
        <v>33.1</v>
      </c>
      <c r="M40" s="87">
        <f t="shared" si="3"/>
        <v>33.1</v>
      </c>
      <c r="N40" s="87">
        <f t="shared" si="3"/>
        <v>33.1</v>
      </c>
      <c r="O40" s="160">
        <f t="shared" si="3"/>
        <v>33.1</v>
      </c>
      <c r="P40" s="296" t="s">
        <v>235</v>
      </c>
      <c r="Q40" s="304"/>
    </row>
    <row r="41" spans="1:17" ht="43.5" customHeight="1" x14ac:dyDescent="0.35">
      <c r="A41" s="210"/>
      <c r="B41" s="151" t="s">
        <v>202</v>
      </c>
      <c r="C41" s="164">
        <f>C40/(G47/Assumptions!$H$47)</f>
        <v>23.002069502258173</v>
      </c>
      <c r="D41" s="164">
        <f>D40/(H47/Assumptions!$H$47)</f>
        <v>35</v>
      </c>
      <c r="E41" s="164">
        <f>E40/(I47/Assumptions!$H$47)</f>
        <v>37.495434757202126</v>
      </c>
      <c r="F41" s="164">
        <f>F40/(J47/Assumptions!$H$47)</f>
        <v>17.585196993096055</v>
      </c>
      <c r="G41" s="164">
        <f>G40/(K47/Assumptions!$H$47)</f>
        <v>13.876206186754821</v>
      </c>
      <c r="H41" s="87">
        <f t="shared" ref="H41:O41" si="4">AVERAGE($C$41:$G$41)</f>
        <v>25.391781487862232</v>
      </c>
      <c r="I41" s="87">
        <f t="shared" si="4"/>
        <v>25.391781487862232</v>
      </c>
      <c r="J41" s="87">
        <f t="shared" si="4"/>
        <v>25.391781487862232</v>
      </c>
      <c r="K41" s="87">
        <f t="shared" si="4"/>
        <v>25.391781487862232</v>
      </c>
      <c r="L41" s="87">
        <f t="shared" si="4"/>
        <v>25.391781487862232</v>
      </c>
      <c r="M41" s="87">
        <f t="shared" si="4"/>
        <v>25.391781487862232</v>
      </c>
      <c r="N41" s="87">
        <f t="shared" si="4"/>
        <v>25.391781487862232</v>
      </c>
      <c r="O41" s="160">
        <f t="shared" si="4"/>
        <v>25.391781487862232</v>
      </c>
      <c r="P41" s="305"/>
      <c r="Q41" s="304"/>
    </row>
    <row r="42" spans="1:17" ht="29.5" thickBot="1" x14ac:dyDescent="0.4">
      <c r="A42" s="210"/>
      <c r="B42" s="324" t="s">
        <v>203</v>
      </c>
      <c r="C42" s="325">
        <f>C40/(G47/Assumptions!$I$47)</f>
        <v>30.673160147636288</v>
      </c>
      <c r="D42" s="325">
        <f>D40/(H47/Assumptions!$I$47)</f>
        <v>46.672348549415332</v>
      </c>
      <c r="E42" s="325">
        <f>E40/(I47/Assumptions!$I$47)</f>
        <v>50</v>
      </c>
      <c r="F42" s="325">
        <f>F40/(J47/Assumptions!$I$47)</f>
        <v>23.449784096340277</v>
      </c>
      <c r="G42" s="325">
        <f>G40/(K47/Assumptions!$I$47)</f>
        <v>18.503860905479272</v>
      </c>
      <c r="H42" s="161">
        <f>AVERAGE($C$42:$G$42)</f>
        <v>33.859830739774239</v>
      </c>
      <c r="I42" s="161">
        <f t="shared" ref="I42:O42" si="5">AVERAGE($C$42:$G$42)</f>
        <v>33.859830739774239</v>
      </c>
      <c r="J42" s="161">
        <f t="shared" si="5"/>
        <v>33.859830739774239</v>
      </c>
      <c r="K42" s="161">
        <f t="shared" si="5"/>
        <v>33.859830739774239</v>
      </c>
      <c r="L42" s="161">
        <f t="shared" si="5"/>
        <v>33.859830739774239</v>
      </c>
      <c r="M42" s="161">
        <f t="shared" si="5"/>
        <v>33.859830739774239</v>
      </c>
      <c r="N42" s="161">
        <f t="shared" si="5"/>
        <v>33.859830739774239</v>
      </c>
      <c r="O42" s="162">
        <f t="shared" si="5"/>
        <v>33.859830739774239</v>
      </c>
      <c r="Q42" s="209"/>
    </row>
    <row r="43" spans="1:17" x14ac:dyDescent="0.35">
      <c r="A43" s="210"/>
      <c r="Q43" s="209"/>
    </row>
    <row r="44" spans="1:17" ht="18" x14ac:dyDescent="0.4">
      <c r="A44" s="211" t="s">
        <v>204</v>
      </c>
      <c r="B44" s="65"/>
      <c r="C44" s="65"/>
      <c r="D44" s="65"/>
      <c r="E44" s="65"/>
      <c r="F44" s="65"/>
      <c r="G44" s="65"/>
      <c r="H44" s="65"/>
      <c r="I44" s="65"/>
      <c r="J44" s="65"/>
      <c r="K44" s="65"/>
      <c r="L44" s="65"/>
      <c r="M44" s="65"/>
      <c r="N44" s="65"/>
      <c r="O44" s="65"/>
      <c r="P44" s="65"/>
      <c r="Q44" s="215"/>
    </row>
    <row r="45" spans="1:17" ht="15" thickBot="1" x14ac:dyDescent="0.4">
      <c r="A45" s="210"/>
      <c r="Q45" s="209"/>
    </row>
    <row r="46" spans="1:17" x14ac:dyDescent="0.35">
      <c r="A46" s="210"/>
      <c r="B46" s="153" t="s">
        <v>108</v>
      </c>
      <c r="C46" s="176"/>
      <c r="D46" s="176">
        <v>2017</v>
      </c>
      <c r="E46" s="176">
        <v>2018</v>
      </c>
      <c r="F46" s="176">
        <v>2019</v>
      </c>
      <c r="G46" s="176">
        <v>2020</v>
      </c>
      <c r="H46" s="176">
        <v>2021</v>
      </c>
      <c r="I46" s="176">
        <v>2022</v>
      </c>
      <c r="J46" s="176">
        <v>2023</v>
      </c>
      <c r="K46" s="176">
        <v>2024</v>
      </c>
      <c r="L46" s="176">
        <v>2025</v>
      </c>
      <c r="M46" s="295" t="s">
        <v>186</v>
      </c>
      <c r="Q46" s="209"/>
    </row>
    <row r="47" spans="1:17" s="72" customFormat="1" ht="63" customHeight="1" x14ac:dyDescent="0.35">
      <c r="A47" s="216"/>
      <c r="B47" s="181" t="s">
        <v>10</v>
      </c>
      <c r="C47" s="187" t="s">
        <v>205</v>
      </c>
      <c r="D47" s="177">
        <v>114.73699999999999</v>
      </c>
      <c r="E47" s="178">
        <v>127.883</v>
      </c>
      <c r="F47" s="178">
        <v>143.43799999999999</v>
      </c>
      <c r="G47" s="178">
        <v>169.60599999999999</v>
      </c>
      <c r="H47" s="178">
        <v>205.33099999999999</v>
      </c>
      <c r="I47" s="178">
        <v>273.80799999999999</v>
      </c>
      <c r="J47" s="178">
        <v>361.96699999999998</v>
      </c>
      <c r="K47" s="178">
        <v>451.31900000000002</v>
      </c>
      <c r="L47" s="87">
        <v>558.38199999999995</v>
      </c>
      <c r="M47" s="175" t="s">
        <v>206</v>
      </c>
      <c r="N47"/>
      <c r="O47"/>
      <c r="P47"/>
      <c r="Q47" s="209"/>
    </row>
    <row r="48" spans="1:17" s="72" customFormat="1" ht="60" customHeight="1" thickBot="1" x14ac:dyDescent="0.4">
      <c r="A48" s="216"/>
      <c r="B48" s="182" t="s">
        <v>207</v>
      </c>
      <c r="C48" s="187" t="s">
        <v>205</v>
      </c>
      <c r="D48" s="179">
        <v>100</v>
      </c>
      <c r="E48" s="180">
        <v>102.291</v>
      </c>
      <c r="F48" s="180">
        <v>103.979</v>
      </c>
      <c r="G48" s="180">
        <v>105.361</v>
      </c>
      <c r="H48" s="180">
        <v>110.172</v>
      </c>
      <c r="I48" s="180">
        <v>118.026</v>
      </c>
      <c r="J48" s="180">
        <v>122.274</v>
      </c>
      <c r="K48" s="180">
        <v>125.23</v>
      </c>
      <c r="L48" s="87">
        <v>128.55699999999999</v>
      </c>
      <c r="M48"/>
      <c r="N48"/>
      <c r="O48"/>
      <c r="P48"/>
      <c r="Q48" s="209"/>
    </row>
    <row r="49" spans="1:17" x14ac:dyDescent="0.35">
      <c r="A49" s="217"/>
      <c r="B49" s="4"/>
      <c r="C49" s="4"/>
      <c r="D49" s="4"/>
      <c r="Q49" s="209"/>
    </row>
    <row r="50" spans="1:17" x14ac:dyDescent="0.35">
      <c r="A50" s="210"/>
      <c r="Q50" s="209"/>
    </row>
    <row r="51" spans="1:17" ht="18" x14ac:dyDescent="0.4">
      <c r="A51" s="211" t="s">
        <v>208</v>
      </c>
      <c r="B51" s="65"/>
      <c r="C51" s="65"/>
      <c r="D51" s="65"/>
      <c r="E51" s="65"/>
      <c r="F51" s="65"/>
      <c r="G51" s="65"/>
      <c r="H51" s="65"/>
      <c r="I51" s="65"/>
      <c r="J51" s="65"/>
      <c r="K51" s="65"/>
      <c r="L51" s="65"/>
      <c r="M51" s="65"/>
      <c r="N51" s="65"/>
      <c r="O51" s="65"/>
      <c r="P51" s="65"/>
      <c r="Q51" s="215"/>
    </row>
    <row r="52" spans="1:17" ht="15" thickBot="1" x14ac:dyDescent="0.4">
      <c r="A52" s="210"/>
      <c r="E52" s="4"/>
      <c r="Q52" s="209"/>
    </row>
    <row r="53" spans="1:17" x14ac:dyDescent="0.35">
      <c r="A53" s="210"/>
      <c r="B53" s="183" t="s">
        <v>108</v>
      </c>
      <c r="C53" s="184">
        <v>2021</v>
      </c>
      <c r="D53" s="306" t="s">
        <v>65</v>
      </c>
      <c r="Q53" s="209"/>
    </row>
    <row r="54" spans="1:17" ht="15" thickBot="1" x14ac:dyDescent="0.4">
      <c r="A54" s="210"/>
      <c r="B54" s="185" t="s">
        <v>209</v>
      </c>
      <c r="C54" s="186">
        <v>1.8319999999999999E-2</v>
      </c>
      <c r="D54" s="309" t="s">
        <v>210</v>
      </c>
      <c r="E54" s="4"/>
      <c r="F54" s="4"/>
      <c r="G54" s="4"/>
      <c r="J54" s="4"/>
      <c r="K54" s="4"/>
      <c r="L54" s="4"/>
      <c r="Q54" s="209"/>
    </row>
    <row r="55" spans="1:17" x14ac:dyDescent="0.35">
      <c r="A55" s="210"/>
      <c r="E55" s="4"/>
      <c r="F55" s="4"/>
      <c r="G55" s="4"/>
      <c r="J55" s="4"/>
      <c r="K55" s="4"/>
      <c r="L55" s="4"/>
      <c r="Q55" s="209"/>
    </row>
    <row r="56" spans="1:17" ht="38.15" customHeight="1" x14ac:dyDescent="0.35">
      <c r="A56" s="218"/>
      <c r="B56" s="370" t="s">
        <v>229</v>
      </c>
      <c r="C56" s="219"/>
      <c r="D56" s="219"/>
      <c r="E56" s="220"/>
      <c r="F56" s="220"/>
      <c r="G56" s="220"/>
      <c r="H56" s="219"/>
      <c r="I56" s="219"/>
      <c r="J56" s="220"/>
      <c r="K56" s="220"/>
      <c r="L56" s="220"/>
      <c r="M56" s="219"/>
      <c r="N56" s="219"/>
      <c r="O56" s="219"/>
      <c r="P56" s="219"/>
      <c r="Q56" s="221"/>
    </row>
    <row r="57" spans="1:17" x14ac:dyDescent="0.35">
      <c r="E57" s="4"/>
      <c r="F57" s="4"/>
      <c r="G57" s="4"/>
      <c r="J57" s="4"/>
      <c r="K57" s="4"/>
      <c r="L57" s="4"/>
    </row>
    <row r="58" spans="1:17" x14ac:dyDescent="0.35">
      <c r="E58" s="4"/>
      <c r="F58" s="4"/>
      <c r="G58" s="4"/>
    </row>
    <row r="59" spans="1:17" x14ac:dyDescent="0.35">
      <c r="E59" s="4"/>
      <c r="F59" s="4"/>
      <c r="G59" s="4"/>
    </row>
    <row r="60" spans="1:17" x14ac:dyDescent="0.35">
      <c r="E60" s="4"/>
      <c r="F60" s="4"/>
      <c r="G60" s="4"/>
    </row>
    <row r="61" spans="1:17" x14ac:dyDescent="0.35">
      <c r="E61" s="4"/>
      <c r="F61" s="4"/>
      <c r="G61" s="4"/>
    </row>
    <row r="63" spans="1:17" x14ac:dyDescent="0.35">
      <c r="G63" s="4"/>
    </row>
  </sheetData>
  <hyperlinks>
    <hyperlink ref="D15" r:id="rId1" xr:uid="{3620DA44-A11E-4514-B0C4-89DD4F83E0CE}"/>
    <hyperlink ref="M47" r:id="rId2" xr:uid="{7265DC68-E562-4F50-8D89-16BED0050B57}"/>
  </hyperlinks>
  <pageMargins left="0.7" right="0.7" top="0.75" bottom="0.75" header="0.3" footer="0.3"/>
  <pageSetup paperSize="9" scale="39" orientation="portrait" horizontalDpi="1200" verticalDpi="12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E3C5-2BEA-438A-953F-B5F97731F4CF}">
  <dimension ref="A1:I26"/>
  <sheetViews>
    <sheetView showGridLines="0" zoomScale="85" zoomScaleNormal="85" workbookViewId="0">
      <selection activeCell="C35" sqref="C35"/>
    </sheetView>
  </sheetViews>
  <sheetFormatPr baseColWidth="10" defaultColWidth="9.26953125" defaultRowHeight="14.5" x14ac:dyDescent="0.35"/>
  <cols>
    <col min="1" max="1" width="28.54296875" customWidth="1"/>
    <col min="2" max="2" width="17.7265625" customWidth="1"/>
    <col min="3" max="3" width="26" customWidth="1"/>
  </cols>
  <sheetData>
    <row r="1" spans="1:9" ht="18" x14ac:dyDescent="0.4">
      <c r="A1" s="203" t="s">
        <v>211</v>
      </c>
      <c r="B1" s="204"/>
      <c r="C1" s="205"/>
      <c r="D1" s="204"/>
      <c r="E1" s="206"/>
      <c r="F1" s="206"/>
      <c r="G1" s="206"/>
      <c r="H1" s="206"/>
      <c r="I1" s="207"/>
    </row>
    <row r="2" spans="1:9" x14ac:dyDescent="0.35">
      <c r="A2" s="210"/>
      <c r="I2" s="209"/>
    </row>
    <row r="3" spans="1:9" x14ac:dyDescent="0.35">
      <c r="A3" s="279" t="s">
        <v>212</v>
      </c>
      <c r="B3" s="279" t="s">
        <v>21</v>
      </c>
      <c r="I3" s="209"/>
    </row>
    <row r="4" spans="1:9" ht="27" customHeight="1" x14ac:dyDescent="0.35">
      <c r="A4" s="308" t="s">
        <v>213</v>
      </c>
      <c r="B4" s="326">
        <v>6.2</v>
      </c>
      <c r="I4" s="209"/>
    </row>
    <row r="5" spans="1:9" ht="31.15" customHeight="1" x14ac:dyDescent="0.35">
      <c r="A5" s="308" t="s">
        <v>214</v>
      </c>
      <c r="B5" s="326">
        <v>5.5</v>
      </c>
      <c r="I5" s="209"/>
    </row>
    <row r="6" spans="1:9" x14ac:dyDescent="0.35">
      <c r="A6" s="308" t="s">
        <v>215</v>
      </c>
      <c r="B6" s="326">
        <v>4.9000000000000004</v>
      </c>
      <c r="I6" s="209"/>
    </row>
    <row r="7" spans="1:9" x14ac:dyDescent="0.35">
      <c r="A7" s="308" t="s">
        <v>216</v>
      </c>
      <c r="B7" s="326">
        <v>4.3</v>
      </c>
      <c r="I7" s="209"/>
    </row>
    <row r="8" spans="1:9" x14ac:dyDescent="0.35">
      <c r="A8" s="308" t="s">
        <v>217</v>
      </c>
      <c r="B8" s="373">
        <v>4</v>
      </c>
      <c r="I8" s="209"/>
    </row>
    <row r="9" spans="1:9" x14ac:dyDescent="0.35">
      <c r="A9" s="308" t="s">
        <v>218</v>
      </c>
      <c r="B9" s="326">
        <v>3.5</v>
      </c>
      <c r="I9" s="209"/>
    </row>
    <row r="10" spans="1:9" x14ac:dyDescent="0.35">
      <c r="A10" s="308" t="s">
        <v>219</v>
      </c>
      <c r="B10" s="326">
        <v>3.1</v>
      </c>
      <c r="I10" s="209"/>
    </row>
    <row r="11" spans="1:9" x14ac:dyDescent="0.35">
      <c r="A11" s="210"/>
      <c r="I11" s="209"/>
    </row>
    <row r="12" spans="1:9" x14ac:dyDescent="0.35">
      <c r="A12" s="210"/>
      <c r="I12" s="209"/>
    </row>
    <row r="13" spans="1:9" x14ac:dyDescent="0.35">
      <c r="A13" s="210"/>
      <c r="I13" s="209"/>
    </row>
    <row r="14" spans="1:9" x14ac:dyDescent="0.35">
      <c r="A14" s="210"/>
      <c r="I14" s="209"/>
    </row>
    <row r="15" spans="1:9" x14ac:dyDescent="0.35">
      <c r="A15" s="218"/>
      <c r="B15" s="219"/>
      <c r="C15" s="219"/>
      <c r="D15" s="219"/>
      <c r="E15" s="219"/>
      <c r="F15" s="219"/>
      <c r="G15" s="219"/>
      <c r="H15" s="219"/>
      <c r="I15" s="221"/>
    </row>
    <row r="16" spans="1:9" ht="18" x14ac:dyDescent="0.4">
      <c r="A16" s="203" t="s">
        <v>232</v>
      </c>
      <c r="B16" s="204"/>
      <c r="C16" s="205"/>
      <c r="D16" s="204"/>
      <c r="E16" s="206"/>
      <c r="F16" s="206"/>
      <c r="G16" s="206"/>
      <c r="H16" s="206"/>
      <c r="I16" s="207"/>
    </row>
    <row r="17" spans="1:9" x14ac:dyDescent="0.35">
      <c r="A17" s="377"/>
      <c r="B17" s="371" t="s">
        <v>234</v>
      </c>
      <c r="C17" s="371"/>
      <c r="D17" s="371"/>
      <c r="I17" s="209"/>
    </row>
    <row r="18" spans="1:9" ht="29.5" thickBot="1" x14ac:dyDescent="0.4">
      <c r="A18" s="372" t="s">
        <v>233</v>
      </c>
      <c r="B18" s="375">
        <v>0.1</v>
      </c>
      <c r="C18" s="375">
        <v>0.2</v>
      </c>
      <c r="D18" s="375">
        <v>0.3</v>
      </c>
      <c r="I18" s="209"/>
    </row>
    <row r="19" spans="1:9" x14ac:dyDescent="0.35">
      <c r="A19" s="376">
        <v>0</v>
      </c>
      <c r="B19" s="378">
        <v>3.5</v>
      </c>
      <c r="C19" s="379">
        <v>3.5</v>
      </c>
      <c r="D19" s="379">
        <v>3.5</v>
      </c>
      <c r="I19" s="209"/>
    </row>
    <row r="20" spans="1:9" x14ac:dyDescent="0.35">
      <c r="A20" s="376">
        <v>0.1</v>
      </c>
      <c r="B20" s="380">
        <v>3.6</v>
      </c>
      <c r="C20" s="374">
        <v>3.8</v>
      </c>
      <c r="D20" s="374">
        <v>3.9</v>
      </c>
      <c r="I20" s="209"/>
    </row>
    <row r="21" spans="1:9" x14ac:dyDescent="0.35">
      <c r="A21" s="376">
        <v>0.2</v>
      </c>
      <c r="B21" s="380">
        <v>3.8</v>
      </c>
      <c r="C21" s="374">
        <v>4</v>
      </c>
      <c r="D21" s="374">
        <v>4.2</v>
      </c>
      <c r="I21" s="209"/>
    </row>
    <row r="22" spans="1:9" x14ac:dyDescent="0.35">
      <c r="A22" s="376">
        <v>0.34</v>
      </c>
      <c r="B22" s="381">
        <v>3.9</v>
      </c>
      <c r="C22" s="374">
        <v>4.3</v>
      </c>
      <c r="D22" s="374">
        <v>4.8</v>
      </c>
      <c r="I22" s="209"/>
    </row>
    <row r="23" spans="1:9" x14ac:dyDescent="0.35">
      <c r="A23" s="376">
        <v>0.5</v>
      </c>
      <c r="B23" s="380">
        <v>4.0999999999999996</v>
      </c>
      <c r="C23" s="374">
        <v>4.7</v>
      </c>
      <c r="D23" s="374">
        <v>5.4</v>
      </c>
      <c r="I23" s="209"/>
    </row>
    <row r="24" spans="1:9" x14ac:dyDescent="0.35">
      <c r="A24" s="376">
        <v>0.75</v>
      </c>
      <c r="B24" s="380">
        <v>4.4000000000000004</v>
      </c>
      <c r="C24" s="374">
        <v>5.4</v>
      </c>
      <c r="D24" s="374">
        <v>6.3</v>
      </c>
      <c r="I24" s="209"/>
    </row>
    <row r="25" spans="1:9" x14ac:dyDescent="0.35">
      <c r="A25" s="376">
        <v>1</v>
      </c>
      <c r="B25" s="380">
        <v>4.8</v>
      </c>
      <c r="C25" s="374">
        <v>6</v>
      </c>
      <c r="D25" s="374">
        <v>7.2</v>
      </c>
      <c r="I25" s="209"/>
    </row>
    <row r="26" spans="1:9" x14ac:dyDescent="0.35">
      <c r="A26" s="218"/>
      <c r="B26" s="219"/>
      <c r="C26" s="219"/>
      <c r="D26" s="219"/>
      <c r="E26" s="219"/>
      <c r="F26" s="219"/>
      <c r="G26" s="219"/>
      <c r="H26" s="219"/>
      <c r="I26" s="221"/>
    </row>
  </sheetData>
  <conditionalFormatting sqref="B2">
    <cfRule type="cellIs" dxfId="0" priority="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E0956-EB7E-46D4-8791-78CE065D8785}">
  <dimension ref="A1"/>
  <sheetViews>
    <sheetView showGridLines="0" zoomScale="64" zoomScaleNormal="64" workbookViewId="0">
      <selection activeCell="C53" sqref="C53"/>
    </sheetView>
  </sheetViews>
  <sheetFormatPr baseColWidth="10" defaultColWidth="9.26953125"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61670E027929440931DC4FF061F9A46" ma:contentTypeVersion="29" ma:contentTypeDescription="Ein neues Dokument erstellen." ma:contentTypeScope="" ma:versionID="0d88bc9cedf1ee999d8bb34fd8e7544b">
  <xsd:schema xmlns:xsd="http://www.w3.org/2001/XMLSchema" xmlns:xs="http://www.w3.org/2001/XMLSchema" xmlns:p="http://schemas.microsoft.com/office/2006/metadata/properties" xmlns:ns2="08b758c0-7f65-4904-9e43-345858c3c71c" xmlns:ns3="24dc8c7b-7b5d-4d41-8221-f7960f2ae5bd" targetNamespace="http://schemas.microsoft.com/office/2006/metadata/properties" ma:root="true" ma:fieldsID="980143298319afb703e608dd5fb72d34" ns2:_="" ns3:_="">
    <xsd:import namespace="08b758c0-7f65-4904-9e43-345858c3c71c"/>
    <xsd:import namespace="24dc8c7b-7b5d-4d41-8221-f7960f2ae5bd"/>
    <xsd:element name="properties">
      <xsd:complexType>
        <xsd:sequence>
          <xsd:element name="documentManagement">
            <xsd:complexType>
              <xsd:all>
                <xsd:element ref="ns2:Thematic_x0020_Focu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2:SharedWithUsers" minOccurs="0"/>
                <xsd:element ref="ns2:SharedWithDetails" minOccurs="0"/>
                <xsd:element ref="ns3:MediaServiceDateTaken" minOccurs="0"/>
                <xsd:element ref="ns3:MediaServiceLocation" minOccurs="0"/>
                <xsd:element ref="ns3:_Flow_SignoffStatus" minOccurs="0"/>
                <xsd:element ref="ns3:MediaLengthInSeconds" minOccurs="0"/>
                <xsd:element ref="ns2:TaxCatchAll" minOccurs="0"/>
                <xsd:element ref="ns3:lcf76f155ced4ddcb4097134ff3c332f" minOccurs="0"/>
                <xsd:element ref="ns3:PII"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b758c0-7f65-4904-9e43-345858c3c71c" elementFormDefault="qualified">
    <xsd:import namespace="http://schemas.microsoft.com/office/2006/documentManagement/types"/>
    <xsd:import namespace="http://schemas.microsoft.com/office/infopath/2007/PartnerControls"/>
    <xsd:element name="Thematic_x0020_Focus" ma:index="2" nillable="true" ma:displayName="Thematic Focus" ma:list="{b8d47e44-77bd-498c-a02c-fb6e3f62fb35}" ma:internalName="Thematic_x0020_Focus" ma:showField="Title" ma:web="08b758c0-7f65-4904-9e43-345858c3c71c">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fdbe3cc-6b80-43ad-a978-0da023464680}" ma:internalName="TaxCatchAll" ma:showField="CatchAllData" ma:web="08b758c0-7f65-4904-9e43-345858c3c7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dc8c7b-7b5d-4d41-8221-f7960f2ae5bd"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8" nillable="true" ma:displayName="Tags" ma:description="" ma:indexed="true" ma:internalName="MediaServiceAutoTags" ma:readOnly="true">
      <xsd:simpleType>
        <xsd:restriction base="dms:Text"/>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1" nillable="true" ma:displayName="Status Unterschrift" ma:internalName="Status_x0020_Unterschrift">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9b1bd33c-51cd-473d-b064-0ba0784f6672" ma:termSetId="09814cd3-568e-fe90-9814-8d621ff8fb84" ma:anchorId="fba54fb3-c3e1-fe81-a776-ca4b69148c4d" ma:open="true" ma:isKeyword="false">
      <xsd:complexType>
        <xsd:sequence>
          <xsd:element ref="pc:Terms" minOccurs="0" maxOccurs="1"/>
        </xsd:sequence>
      </xsd:complexType>
    </xsd:element>
    <xsd:element name="PII" ma:index="26" nillable="true" ma:displayName="PII" ma:default="0" ma:format="Dropdown" ma:indexed="true" ma:internalName="PII">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hematic_x0020_Focus xmlns="08b758c0-7f65-4904-9e43-345858c3c71c" xsi:nil="true"/>
    <_Flow_SignoffStatus xmlns="24dc8c7b-7b5d-4d41-8221-f7960f2ae5bd" xsi:nil="true"/>
    <TaxCatchAll xmlns="08b758c0-7f65-4904-9e43-345858c3c71c" xsi:nil="true"/>
    <lcf76f155ced4ddcb4097134ff3c332f xmlns="24dc8c7b-7b5d-4d41-8221-f7960f2ae5bd">
      <Terms xmlns="http://schemas.microsoft.com/office/infopath/2007/PartnerControls"/>
    </lcf76f155ced4ddcb4097134ff3c332f>
    <PII xmlns="24dc8c7b-7b5d-4d41-8221-f7960f2ae5bd">false</PII>
  </documentManagement>
</p:properties>
</file>

<file path=customXml/itemProps1.xml><?xml version="1.0" encoding="utf-8"?>
<ds:datastoreItem xmlns:ds="http://schemas.openxmlformats.org/officeDocument/2006/customXml" ds:itemID="{B17C3E72-E6CB-413E-81E7-23613E47D569}">
  <ds:schemaRefs>
    <ds:schemaRef ds:uri="http://schemas.microsoft.com/sharepoint/v3/contenttype/forms"/>
  </ds:schemaRefs>
</ds:datastoreItem>
</file>

<file path=customXml/itemProps2.xml><?xml version="1.0" encoding="utf-8"?>
<ds:datastoreItem xmlns:ds="http://schemas.openxmlformats.org/officeDocument/2006/customXml" ds:itemID="{603D49C6-CA81-492A-863B-A86D9817FA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b758c0-7f65-4904-9e43-345858c3c71c"/>
    <ds:schemaRef ds:uri="24dc8c7b-7b5d-4d41-8221-f7960f2ae5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3CA661-FF88-4791-85B2-F80EA589301D}">
  <ds:schemaRef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elements/1.1/"/>
    <ds:schemaRef ds:uri="http://purl.org/dc/terms/"/>
    <ds:schemaRef ds:uri="http://purl.org/dc/dcmitype/"/>
    <ds:schemaRef ds:uri="24dc8c7b-7b5d-4d41-8221-f7960f2ae5bd"/>
    <ds:schemaRef ds:uri="08b758c0-7f65-4904-9e43-345858c3c71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Summary</vt:lpstr>
      <vt:lpstr>SROI</vt:lpstr>
      <vt:lpstr>Assumptions</vt:lpstr>
      <vt:lpstr>Sensitivity Analysis</vt:lpstr>
      <vt:lpstr>Explanations</vt:lpstr>
      <vt:lpstr>SROI!Druckbereich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Herz, Paul</dc:creator>
  <cp:keywords/>
  <dc:description/>
  <cp:lastModifiedBy>Frank, Theresa</cp:lastModifiedBy>
  <cp:revision/>
  <dcterms:created xsi:type="dcterms:W3CDTF">2021-10-12T15:11:17Z</dcterms:created>
  <dcterms:modified xsi:type="dcterms:W3CDTF">2026-01-28T09:12:25Z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0x010100861670E027929440931DC4FF061F9A46</vt:lpwstr>
  </property>
  <property fmtid="{D5CDD505-2E9C-101B-9397-08002B2CF9AE}" pid="3" name="MediaServiceImageTags">
    <vt:lpwstr/>
  </property>
  <property fmtid="{D5CDD505-2E9C-101B-9397-08002B2CF9AE}" pid="4" name="ESRI_WORKBOOK_ID">
    <vt:lpwstr>049c34937107443b872cd855936d56cb</vt:lpwstr>
  </property>
</Properties>
</file>